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65" windowWidth="19395" windowHeight="7695" firstSheet="4" activeTab="4"/>
  </bookViews>
  <sheets>
    <sheet name="basic" sheetId="2" state="hidden" r:id="rId1"/>
    <sheet name="R1" sheetId="1" state="hidden" r:id="rId2"/>
    <sheet name="R2" sheetId="3" state="hidden" r:id="rId3"/>
    <sheet name="R3" sheetId="4" state="hidden" r:id="rId4"/>
    <sheet name="R4" sheetId="5" r:id="rId5"/>
    <sheet name="擊球速度" sheetId="6" state="hidden" r:id="rId6"/>
  </sheets>
  <definedNames>
    <definedName name="_xlnm.Print_Area" localSheetId="5">擊球速度!$A$1:$O$66</definedName>
    <definedName name="女子名次">basic!$K$61:$L$93</definedName>
    <definedName name="名單">basic!$L$4:$S$93</definedName>
    <definedName name="男子名次">basic!$K$4:$L$60</definedName>
  </definedNames>
  <calcPr calcId="145621"/>
</workbook>
</file>

<file path=xl/calcChain.xml><?xml version="1.0" encoding="utf-8"?>
<calcChain xmlns="http://schemas.openxmlformats.org/spreadsheetml/2006/main">
  <c r="I7" i="2" l="1"/>
  <c r="I10" i="2" s="1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Q4" i="2" l="1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F29" i="2"/>
  <c r="F30" i="2" s="1"/>
  <c r="D31" i="5" l="1"/>
  <c r="D7" i="5"/>
  <c r="D30" i="5"/>
  <c r="D29" i="5"/>
  <c r="N5" i="5"/>
  <c r="D31" i="4"/>
  <c r="D7" i="4"/>
  <c r="D30" i="4"/>
  <c r="D29" i="4"/>
  <c r="O36" i="6"/>
  <c r="L36" i="6"/>
  <c r="K36" i="6"/>
  <c r="J36" i="6"/>
  <c r="G36" i="6"/>
  <c r="M3" i="6"/>
  <c r="L3" i="6"/>
  <c r="I3" i="6"/>
  <c r="G3" i="6"/>
  <c r="O5" i="5" l="1"/>
  <c r="P5" i="5"/>
  <c r="Q5" i="5"/>
  <c r="R5" i="5"/>
  <c r="S5" i="5"/>
  <c r="E29" i="5"/>
  <c r="F29" i="5"/>
  <c r="G29" i="5"/>
  <c r="H29" i="5"/>
  <c r="I29" i="5"/>
  <c r="F30" i="5"/>
  <c r="G30" i="5"/>
  <c r="H30" i="5"/>
  <c r="I30" i="5"/>
  <c r="E30" i="5"/>
  <c r="G31" i="5"/>
  <c r="H31" i="5"/>
  <c r="I31" i="5"/>
  <c r="E31" i="5"/>
  <c r="F31" i="5"/>
  <c r="G7" i="5"/>
  <c r="H7" i="5"/>
  <c r="I7" i="5"/>
  <c r="E7" i="5"/>
  <c r="F7" i="5"/>
  <c r="N29" i="3"/>
  <c r="N26" i="3" s="1"/>
  <c r="F10" i="1"/>
  <c r="E10" i="1"/>
  <c r="F7" i="1"/>
  <c r="E7" i="1"/>
  <c r="J30" i="5" l="1"/>
  <c r="J31" i="5"/>
  <c r="J7" i="5"/>
  <c r="J29" i="5"/>
  <c r="N27" i="3"/>
  <c r="N28" i="3" s="1"/>
  <c r="N23" i="3"/>
  <c r="F9" i="1"/>
  <c r="E9" i="1"/>
  <c r="N24" i="3" l="1"/>
  <c r="N25" i="3" s="1"/>
  <c r="N20" i="3"/>
  <c r="N29" i="4"/>
  <c r="N17" i="3" l="1"/>
  <c r="N21" i="3"/>
  <c r="N22" i="3" s="1"/>
  <c r="A1" i="4"/>
  <c r="L3" i="4"/>
  <c r="L3" i="5"/>
  <c r="L3" i="3"/>
  <c r="A1" i="5"/>
  <c r="A1" i="3"/>
  <c r="N18" i="3" l="1"/>
  <c r="N19" i="3" s="1"/>
  <c r="N14" i="3"/>
  <c r="N32" i="5"/>
  <c r="N15" i="3" l="1"/>
  <c r="N16" i="3" s="1"/>
  <c r="N11" i="3"/>
  <c r="N33" i="5"/>
  <c r="N12" i="3" l="1"/>
  <c r="N13" i="3" s="1"/>
  <c r="N8" i="3"/>
  <c r="D32" i="5"/>
  <c r="N29" i="5"/>
  <c r="N30" i="4"/>
  <c r="D33" i="5"/>
  <c r="N9" i="3" l="1"/>
  <c r="N10" i="3" s="1"/>
  <c r="N5" i="3"/>
  <c r="N6" i="3" s="1"/>
  <c r="N7" i="3" s="1"/>
  <c r="N30" i="5"/>
  <c r="N31" i="4"/>
  <c r="N31" i="5" l="1"/>
  <c r="I25" i="2"/>
  <c r="N26" i="4" l="1"/>
  <c r="N26" i="5"/>
  <c r="F25" i="2"/>
  <c r="I26" i="2"/>
  <c r="Q43" i="3"/>
  <c r="N27" i="4" l="1"/>
  <c r="N27" i="5"/>
  <c r="D26" i="4"/>
  <c r="D26" i="5"/>
  <c r="S26" i="5"/>
  <c r="O26" i="5"/>
  <c r="R26" i="5"/>
  <c r="P26" i="5"/>
  <c r="Q26" i="5"/>
  <c r="F26" i="2"/>
  <c r="I27" i="2"/>
  <c r="H26" i="5" l="1"/>
  <c r="E26" i="5"/>
  <c r="F26" i="5"/>
  <c r="I26" i="5"/>
  <c r="G26" i="5"/>
  <c r="N28" i="4"/>
  <c r="N28" i="5"/>
  <c r="D27" i="5"/>
  <c r="D27" i="4"/>
  <c r="R27" i="5"/>
  <c r="Q27" i="5"/>
  <c r="S27" i="5"/>
  <c r="O27" i="5"/>
  <c r="P27" i="5"/>
  <c r="F27" i="2"/>
  <c r="I22" i="2"/>
  <c r="I27" i="5" l="1"/>
  <c r="G27" i="5"/>
  <c r="F27" i="5"/>
  <c r="E27" i="5"/>
  <c r="H27" i="5"/>
  <c r="S28" i="5"/>
  <c r="O28" i="5"/>
  <c r="P28" i="5"/>
  <c r="R28" i="5"/>
  <c r="Q28" i="5"/>
  <c r="J26" i="5"/>
  <c r="N23" i="4"/>
  <c r="N23" i="5"/>
  <c r="D28" i="4"/>
  <c r="D28" i="5"/>
  <c r="F22" i="2"/>
  <c r="I23" i="2"/>
  <c r="M5" i="3"/>
  <c r="E28" i="5" l="1"/>
  <c r="I28" i="5"/>
  <c r="F28" i="5"/>
  <c r="H28" i="5"/>
  <c r="G28" i="5"/>
  <c r="J28" i="5" s="1"/>
  <c r="N24" i="4"/>
  <c r="N24" i="5"/>
  <c r="D23" i="5"/>
  <c r="D23" i="4"/>
  <c r="S23" i="5"/>
  <c r="P23" i="5"/>
  <c r="Q23" i="5"/>
  <c r="R23" i="5"/>
  <c r="O23" i="5"/>
  <c r="J27" i="5"/>
  <c r="F23" i="2"/>
  <c r="I24" i="2"/>
  <c r="L8" i="4"/>
  <c r="L11" i="4" s="1"/>
  <c r="L14" i="4" s="1"/>
  <c r="L17" i="4" s="1"/>
  <c r="L20" i="4" s="1"/>
  <c r="L23" i="4" s="1"/>
  <c r="L26" i="4" s="1"/>
  <c r="B8" i="4"/>
  <c r="B11" i="4" s="1"/>
  <c r="B14" i="4" s="1"/>
  <c r="B17" i="4" s="1"/>
  <c r="B20" i="4" s="1"/>
  <c r="B23" i="4" s="1"/>
  <c r="B26" i="4" s="1"/>
  <c r="E35" i="6"/>
  <c r="A36" i="6"/>
  <c r="N36" i="6"/>
  <c r="M36" i="6"/>
  <c r="I36" i="6"/>
  <c r="H36" i="6"/>
  <c r="H3" i="6"/>
  <c r="J3" i="6"/>
  <c r="K3" i="6"/>
  <c r="N3" i="6"/>
  <c r="O3" i="6"/>
  <c r="A2" i="6"/>
  <c r="AA4" i="6"/>
  <c r="AA5" i="6" s="1"/>
  <c r="AA6" i="6" s="1"/>
  <c r="A1" i="6"/>
  <c r="A34" i="6" s="1"/>
  <c r="D24" i="4" l="1"/>
  <c r="D24" i="5"/>
  <c r="N25" i="4"/>
  <c r="N25" i="5"/>
  <c r="F23" i="5"/>
  <c r="G23" i="5"/>
  <c r="I23" i="5"/>
  <c r="E23" i="5"/>
  <c r="H23" i="5"/>
  <c r="R24" i="5"/>
  <c r="S24" i="5"/>
  <c r="P24" i="5"/>
  <c r="Q24" i="5"/>
  <c r="O24" i="5"/>
  <c r="F24" i="2"/>
  <c r="F19" i="2"/>
  <c r="I19" i="2"/>
  <c r="A35" i="6"/>
  <c r="D25" i="4" l="1"/>
  <c r="D25" i="5"/>
  <c r="J23" i="5"/>
  <c r="Q25" i="5"/>
  <c r="R25" i="5"/>
  <c r="S25" i="5"/>
  <c r="O25" i="5"/>
  <c r="P25" i="5"/>
  <c r="G24" i="5"/>
  <c r="E24" i="5"/>
  <c r="H24" i="5"/>
  <c r="F24" i="5"/>
  <c r="I24" i="5"/>
  <c r="D20" i="5"/>
  <c r="D20" i="4"/>
  <c r="N20" i="4"/>
  <c r="N20" i="5"/>
  <c r="F20" i="2"/>
  <c r="I20" i="2"/>
  <c r="M8" i="3"/>
  <c r="M11" i="3" s="1"/>
  <c r="M14" i="3" s="1"/>
  <c r="M17" i="3" s="1"/>
  <c r="M20" i="3" s="1"/>
  <c r="M23" i="3" s="1"/>
  <c r="M26" i="3" s="1"/>
  <c r="M29" i="3" s="1"/>
  <c r="M32" i="3" s="1"/>
  <c r="M35" i="3" s="1"/>
  <c r="M38" i="3" s="1"/>
  <c r="L8" i="3"/>
  <c r="L11" i="3" s="1"/>
  <c r="L14" i="3" s="1"/>
  <c r="L17" i="3" s="1"/>
  <c r="L20" i="3" s="1"/>
  <c r="L23" i="3" s="1"/>
  <c r="L26" i="3" s="1"/>
  <c r="L29" i="3" s="1"/>
  <c r="L32" i="3" s="1"/>
  <c r="L35" i="3" s="1"/>
  <c r="L38" i="3" s="1"/>
  <c r="B8" i="3"/>
  <c r="B11" i="3" s="1"/>
  <c r="B14" i="3" s="1"/>
  <c r="B17" i="3" s="1"/>
  <c r="B20" i="3" s="1"/>
  <c r="B23" i="3" s="1"/>
  <c r="B26" i="3" s="1"/>
  <c r="B29" i="3" s="1"/>
  <c r="B32" i="3" s="1"/>
  <c r="B35" i="3" s="1"/>
  <c r="B38" i="3" s="1"/>
  <c r="B41" i="3" s="1"/>
  <c r="C5" i="3"/>
  <c r="C8" i="3" s="1"/>
  <c r="C11" i="3" s="1"/>
  <c r="C14" i="3" s="1"/>
  <c r="C17" i="3" s="1"/>
  <c r="C20" i="3" s="1"/>
  <c r="C23" i="3" s="1"/>
  <c r="C26" i="3" s="1"/>
  <c r="C29" i="3" s="1"/>
  <c r="C32" i="3" s="1"/>
  <c r="C35" i="3" s="1"/>
  <c r="C38" i="3" s="1"/>
  <c r="C41" i="3" s="1"/>
  <c r="L8" i="1"/>
  <c r="L11" i="1" s="1"/>
  <c r="L14" i="1" s="1"/>
  <c r="L17" i="1" s="1"/>
  <c r="L20" i="1" s="1"/>
  <c r="L23" i="1" s="1"/>
  <c r="L26" i="1" s="1"/>
  <c r="L29" i="1" s="1"/>
  <c r="L32" i="1" s="1"/>
  <c r="L35" i="1" s="1"/>
  <c r="L38" i="1" s="1"/>
  <c r="L41" i="1" s="1"/>
  <c r="B8" i="1"/>
  <c r="B11" i="1" s="1"/>
  <c r="B14" i="1" s="1"/>
  <c r="B17" i="1" s="1"/>
  <c r="B20" i="1" s="1"/>
  <c r="B23" i="1" s="1"/>
  <c r="B26" i="1" s="1"/>
  <c r="B29" i="1" s="1"/>
  <c r="B32" i="1" s="1"/>
  <c r="B35" i="1" s="1"/>
  <c r="B38" i="1" s="1"/>
  <c r="M5" i="1"/>
  <c r="M8" i="1" s="1"/>
  <c r="M11" i="1" s="1"/>
  <c r="M14" i="1" s="1"/>
  <c r="M17" i="1" s="1"/>
  <c r="M20" i="1" s="1"/>
  <c r="M23" i="1" s="1"/>
  <c r="M26" i="1" s="1"/>
  <c r="M29" i="1" s="1"/>
  <c r="M32" i="1" s="1"/>
  <c r="M35" i="1" s="1"/>
  <c r="M38" i="1" s="1"/>
  <c r="M41" i="1" s="1"/>
  <c r="C5" i="1"/>
  <c r="C8" i="1" s="1"/>
  <c r="C11" i="1" s="1"/>
  <c r="C14" i="1" s="1"/>
  <c r="C17" i="1" s="1"/>
  <c r="C20" i="1" s="1"/>
  <c r="C23" i="1" s="1"/>
  <c r="C26" i="1" s="1"/>
  <c r="C29" i="1" s="1"/>
  <c r="C32" i="1" s="1"/>
  <c r="C35" i="1" s="1"/>
  <c r="C38" i="1" s="1"/>
  <c r="G20" i="5" l="1"/>
  <c r="H20" i="5"/>
  <c r="I20" i="5"/>
  <c r="E20" i="5"/>
  <c r="F20" i="5"/>
  <c r="N21" i="4"/>
  <c r="N21" i="5"/>
  <c r="D21" i="5"/>
  <c r="D21" i="4"/>
  <c r="F25" i="5"/>
  <c r="I25" i="5"/>
  <c r="H25" i="5"/>
  <c r="G25" i="5"/>
  <c r="E25" i="5"/>
  <c r="P20" i="5"/>
  <c r="Q20" i="5"/>
  <c r="R20" i="5"/>
  <c r="S20" i="5"/>
  <c r="O20" i="5"/>
  <c r="J24" i="5"/>
  <c r="F21" i="2"/>
  <c r="F16" i="2"/>
  <c r="I21" i="2"/>
  <c r="S51" i="2"/>
  <c r="S52" i="2"/>
  <c r="D22" i="4" l="1"/>
  <c r="D22" i="5"/>
  <c r="J25" i="5"/>
  <c r="O21" i="5"/>
  <c r="P21" i="5"/>
  <c r="Q21" i="5"/>
  <c r="R21" i="5"/>
  <c r="S21" i="5"/>
  <c r="I21" i="5"/>
  <c r="H21" i="5"/>
  <c r="E21" i="5"/>
  <c r="G21" i="5"/>
  <c r="F21" i="5"/>
  <c r="N22" i="4"/>
  <c r="N22" i="5"/>
  <c r="D17" i="5"/>
  <c r="D17" i="4"/>
  <c r="J20" i="5"/>
  <c r="F17" i="2"/>
  <c r="I16" i="2"/>
  <c r="R29" i="5"/>
  <c r="D34" i="5"/>
  <c r="F34" i="5" s="1"/>
  <c r="D18" i="4" l="1"/>
  <c r="D18" i="5"/>
  <c r="N17" i="4"/>
  <c r="N17" i="5"/>
  <c r="R22" i="5"/>
  <c r="P22" i="5"/>
  <c r="Q22" i="5"/>
  <c r="S22" i="5"/>
  <c r="O22" i="5"/>
  <c r="J21" i="5"/>
  <c r="H22" i="5"/>
  <c r="F22" i="5"/>
  <c r="G22" i="5"/>
  <c r="I22" i="5"/>
  <c r="E22" i="5"/>
  <c r="E17" i="5"/>
  <c r="H17" i="5"/>
  <c r="F17" i="5"/>
  <c r="G17" i="5"/>
  <c r="I17" i="5"/>
  <c r="F18" i="2"/>
  <c r="I17" i="2"/>
  <c r="N18" i="5" s="1"/>
  <c r="H34" i="5"/>
  <c r="O29" i="5"/>
  <c r="S29" i="5"/>
  <c r="P29" i="5"/>
  <c r="G34" i="5"/>
  <c r="E34" i="5"/>
  <c r="I34" i="5"/>
  <c r="Q29" i="5"/>
  <c r="S17" i="5" l="1"/>
  <c r="Q17" i="5"/>
  <c r="O17" i="5"/>
  <c r="P17" i="5"/>
  <c r="R17" i="5"/>
  <c r="J17" i="5"/>
  <c r="S18" i="5"/>
  <c r="R18" i="5"/>
  <c r="O18" i="5"/>
  <c r="P18" i="5"/>
  <c r="Q18" i="5"/>
  <c r="D19" i="4"/>
  <c r="D19" i="5"/>
  <c r="F13" i="2"/>
  <c r="J22" i="5"/>
  <c r="I18" i="5"/>
  <c r="H18" i="5"/>
  <c r="E18" i="5"/>
  <c r="G18" i="5"/>
  <c r="F18" i="5"/>
  <c r="I18" i="2"/>
  <c r="N18" i="4"/>
  <c r="I13" i="2"/>
  <c r="J34" i="5"/>
  <c r="R32" i="5"/>
  <c r="Q32" i="5"/>
  <c r="O32" i="5"/>
  <c r="S32" i="5"/>
  <c r="P32" i="5"/>
  <c r="F14" i="2" l="1"/>
  <c r="D14" i="4"/>
  <c r="D14" i="5"/>
  <c r="N19" i="4"/>
  <c r="N19" i="5"/>
  <c r="J18" i="5"/>
  <c r="N14" i="4"/>
  <c r="N14" i="5"/>
  <c r="G19" i="5"/>
  <c r="F19" i="5"/>
  <c r="I19" i="5"/>
  <c r="E19" i="5"/>
  <c r="H19" i="5"/>
  <c r="I14" i="2"/>
  <c r="T32" i="5"/>
  <c r="D6" i="1"/>
  <c r="N32" i="4"/>
  <c r="N33" i="4"/>
  <c r="N34" i="4"/>
  <c r="D32" i="4"/>
  <c r="F32" i="4" s="1"/>
  <c r="D33" i="4"/>
  <c r="G33" i="4" s="1"/>
  <c r="D34" i="4"/>
  <c r="H34" i="4" s="1"/>
  <c r="F5" i="1"/>
  <c r="E5" i="1"/>
  <c r="S62" i="2"/>
  <c r="S59" i="2"/>
  <c r="S5" i="2"/>
  <c r="S4" i="2"/>
  <c r="S12" i="2"/>
  <c r="S23" i="2"/>
  <c r="S35" i="2"/>
  <c r="S47" i="2"/>
  <c r="S67" i="2"/>
  <c r="S71" i="2"/>
  <c r="S75" i="2"/>
  <c r="S87" i="2"/>
  <c r="B5" i="2"/>
  <c r="C5" i="2" s="1"/>
  <c r="B4" i="2"/>
  <c r="C4" i="2" s="1"/>
  <c r="N34" i="5"/>
  <c r="S10" i="2"/>
  <c r="S11" i="2"/>
  <c r="S13" i="2"/>
  <c r="S14" i="2"/>
  <c r="S15" i="2"/>
  <c r="S17" i="2"/>
  <c r="S18" i="2"/>
  <c r="S20" i="2"/>
  <c r="S21" i="2"/>
  <c r="S22" i="2"/>
  <c r="S24" i="2"/>
  <c r="S25" i="2"/>
  <c r="S26" i="2"/>
  <c r="S28" i="2"/>
  <c r="S29" i="2"/>
  <c r="S30" i="2"/>
  <c r="S32" i="2"/>
  <c r="S33" i="2"/>
  <c r="S34" i="2"/>
  <c r="S36" i="2"/>
  <c r="S37" i="2"/>
  <c r="S38" i="2"/>
  <c r="S40" i="2"/>
  <c r="S41" i="2"/>
  <c r="S42" i="2"/>
  <c r="S44" i="2"/>
  <c r="S45" i="2"/>
  <c r="S46" i="2"/>
  <c r="S48" i="2"/>
  <c r="S49" i="2"/>
  <c r="S50" i="2"/>
  <c r="S54" i="2"/>
  <c r="S55" i="2"/>
  <c r="S56" i="2"/>
  <c r="S58" i="2"/>
  <c r="S60" i="2"/>
  <c r="S61" i="2"/>
  <c r="S64" i="2"/>
  <c r="S65" i="2"/>
  <c r="S66" i="2"/>
  <c r="S68" i="2"/>
  <c r="S69" i="2"/>
  <c r="S70" i="2"/>
  <c r="S72" i="2"/>
  <c r="S73" i="2"/>
  <c r="S74" i="2"/>
  <c r="S76" i="2"/>
  <c r="S77" i="2"/>
  <c r="S78" i="2"/>
  <c r="S80" i="2"/>
  <c r="S81" i="2"/>
  <c r="S82" i="2"/>
  <c r="S84" i="2"/>
  <c r="S85" i="2"/>
  <c r="S86" i="2"/>
  <c r="S88" i="2"/>
  <c r="S89" i="2"/>
  <c r="S90" i="2"/>
  <c r="I15" i="2" l="1"/>
  <c r="N16" i="5" s="1"/>
  <c r="N15" i="5"/>
  <c r="S19" i="5"/>
  <c r="P19" i="5"/>
  <c r="R19" i="5"/>
  <c r="Q19" i="5"/>
  <c r="O19" i="5"/>
  <c r="H14" i="5"/>
  <c r="F14" i="5"/>
  <c r="I14" i="5"/>
  <c r="E14" i="5"/>
  <c r="G14" i="5"/>
  <c r="J19" i="5"/>
  <c r="S14" i="5"/>
  <c r="R14" i="5"/>
  <c r="O14" i="5"/>
  <c r="P14" i="5"/>
  <c r="Q14" i="5"/>
  <c r="F15" i="2"/>
  <c r="D15" i="4"/>
  <c r="D15" i="5"/>
  <c r="N16" i="4"/>
  <c r="N15" i="4"/>
  <c r="E8" i="1"/>
  <c r="G32" i="5"/>
  <c r="F32" i="5"/>
  <c r="H32" i="5"/>
  <c r="E32" i="5"/>
  <c r="I32" i="5"/>
  <c r="P33" i="5"/>
  <c r="O33" i="5"/>
  <c r="Q33" i="5"/>
  <c r="S33" i="5"/>
  <c r="R33" i="5"/>
  <c r="P29" i="4"/>
  <c r="R34" i="5"/>
  <c r="O34" i="5"/>
  <c r="Q34" i="5"/>
  <c r="P34" i="5"/>
  <c r="S34" i="5"/>
  <c r="R33" i="4"/>
  <c r="Q33" i="4"/>
  <c r="P33" i="4"/>
  <c r="O33" i="4"/>
  <c r="R32" i="4"/>
  <c r="O32" i="4"/>
  <c r="Q32" i="4"/>
  <c r="P32" i="4"/>
  <c r="R34" i="4"/>
  <c r="O34" i="4"/>
  <c r="Q34" i="4"/>
  <c r="P34" i="4"/>
  <c r="F6" i="1"/>
  <c r="E6" i="1"/>
  <c r="G34" i="4"/>
  <c r="E33" i="4"/>
  <c r="F34" i="4"/>
  <c r="H32" i="4"/>
  <c r="E34" i="4"/>
  <c r="H33" i="4"/>
  <c r="G32" i="4"/>
  <c r="F33" i="4"/>
  <c r="E32" i="4"/>
  <c r="C6" i="2"/>
  <c r="S7" i="2"/>
  <c r="S8" i="2"/>
  <c r="S83" i="2"/>
  <c r="S79" i="2"/>
  <c r="S63" i="2"/>
  <c r="S57" i="2"/>
  <c r="S53" i="2"/>
  <c r="S43" i="2"/>
  <c r="S39" i="2"/>
  <c r="S31" i="2"/>
  <c r="S27" i="2"/>
  <c r="S19" i="2"/>
  <c r="S16" i="2"/>
  <c r="S9" i="2"/>
  <c r="S6" i="2"/>
  <c r="F15" i="5" l="1"/>
  <c r="E15" i="5"/>
  <c r="G15" i="5"/>
  <c r="I15" i="5"/>
  <c r="H15" i="5"/>
  <c r="J14" i="5"/>
  <c r="D16" i="5"/>
  <c r="D16" i="4"/>
  <c r="F10" i="2"/>
  <c r="O15" i="5"/>
  <c r="P15" i="5"/>
  <c r="Q15" i="5"/>
  <c r="R15" i="5"/>
  <c r="S15" i="5"/>
  <c r="Q16" i="5"/>
  <c r="R16" i="5"/>
  <c r="O16" i="5"/>
  <c r="P16" i="5"/>
  <c r="S16" i="5"/>
  <c r="F8" i="1"/>
  <c r="J32" i="5"/>
  <c r="F33" i="5"/>
  <c r="G33" i="5"/>
  <c r="H33" i="5"/>
  <c r="E33" i="5"/>
  <c r="I33" i="5"/>
  <c r="Q30" i="5"/>
  <c r="R30" i="5"/>
  <c r="O30" i="5"/>
  <c r="P30" i="5"/>
  <c r="S30" i="5"/>
  <c r="T29" i="5"/>
  <c r="O29" i="4"/>
  <c r="R29" i="4"/>
  <c r="Q29" i="4"/>
  <c r="T33" i="5"/>
  <c r="T34" i="5"/>
  <c r="J33" i="4"/>
  <c r="T33" i="4"/>
  <c r="J34" i="4"/>
  <c r="J32" i="4"/>
  <c r="T32" i="4"/>
  <c r="T34" i="4"/>
  <c r="F16" i="5" l="1"/>
  <c r="G16" i="5"/>
  <c r="J16" i="5" s="1"/>
  <c r="I16" i="5"/>
  <c r="E16" i="5"/>
  <c r="H16" i="5"/>
  <c r="J15" i="5"/>
  <c r="F11" i="2"/>
  <c r="D11" i="4"/>
  <c r="D11" i="5"/>
  <c r="J33" i="5"/>
  <c r="D12" i="1"/>
  <c r="P31" i="5"/>
  <c r="Q31" i="5"/>
  <c r="O31" i="5"/>
  <c r="S31" i="5"/>
  <c r="R31" i="5"/>
  <c r="T29" i="4"/>
  <c r="T26" i="5"/>
  <c r="T30" i="5"/>
  <c r="P26" i="4"/>
  <c r="Q26" i="4"/>
  <c r="O26" i="4"/>
  <c r="R26" i="4"/>
  <c r="H29" i="4"/>
  <c r="F29" i="4"/>
  <c r="G29" i="4"/>
  <c r="E29" i="4"/>
  <c r="P30" i="4"/>
  <c r="Q30" i="4"/>
  <c r="O30" i="4"/>
  <c r="R30" i="4"/>
  <c r="E26" i="4"/>
  <c r="G26" i="4"/>
  <c r="F26" i="4"/>
  <c r="H26" i="4"/>
  <c r="E30" i="4"/>
  <c r="F30" i="4"/>
  <c r="H30" i="4"/>
  <c r="G30" i="4"/>
  <c r="F12" i="2" l="1"/>
  <c r="D12" i="4"/>
  <c r="D12" i="5"/>
  <c r="E11" i="5"/>
  <c r="F11" i="5"/>
  <c r="G11" i="5"/>
  <c r="H11" i="5"/>
  <c r="I11" i="5"/>
  <c r="D13" i="1"/>
  <c r="D14" i="1" s="1"/>
  <c r="J29" i="4"/>
  <c r="T23" i="5"/>
  <c r="T27" i="5"/>
  <c r="T31" i="5"/>
  <c r="T30" i="4"/>
  <c r="Q31" i="4"/>
  <c r="O31" i="4"/>
  <c r="P31" i="4"/>
  <c r="R31" i="4"/>
  <c r="T26" i="4"/>
  <c r="Q23" i="4"/>
  <c r="O23" i="4"/>
  <c r="P23" i="4"/>
  <c r="R23" i="4"/>
  <c r="Q27" i="4"/>
  <c r="O27" i="4"/>
  <c r="P27" i="4"/>
  <c r="R27" i="4"/>
  <c r="J26" i="4"/>
  <c r="J30" i="4"/>
  <c r="F23" i="4"/>
  <c r="G23" i="4"/>
  <c r="H23" i="4"/>
  <c r="E23" i="4"/>
  <c r="F27" i="4"/>
  <c r="G27" i="4"/>
  <c r="H27" i="4"/>
  <c r="E27" i="4"/>
  <c r="F31" i="4"/>
  <c r="G31" i="4"/>
  <c r="E31" i="4"/>
  <c r="H31" i="4"/>
  <c r="E12" i="1"/>
  <c r="F12" i="1"/>
  <c r="F11" i="1"/>
  <c r="E11" i="1"/>
  <c r="J11" i="5" l="1"/>
  <c r="I12" i="5"/>
  <c r="E12" i="5"/>
  <c r="G12" i="5"/>
  <c r="H12" i="5"/>
  <c r="F12" i="5"/>
  <c r="D13" i="4"/>
  <c r="D13" i="5"/>
  <c r="F7" i="2"/>
  <c r="T28" i="5"/>
  <c r="T24" i="5"/>
  <c r="D15" i="1"/>
  <c r="T20" i="5"/>
  <c r="T23" i="4"/>
  <c r="T27" i="4"/>
  <c r="T31" i="4"/>
  <c r="P20" i="4"/>
  <c r="O20" i="4"/>
  <c r="R20" i="4"/>
  <c r="Q20" i="4"/>
  <c r="P24" i="4"/>
  <c r="O24" i="4"/>
  <c r="R24" i="4"/>
  <c r="Q24" i="4"/>
  <c r="P28" i="4"/>
  <c r="O28" i="4"/>
  <c r="R28" i="4"/>
  <c r="Q28" i="4"/>
  <c r="J27" i="4"/>
  <c r="J31" i="4"/>
  <c r="J23" i="4"/>
  <c r="G24" i="4"/>
  <c r="E24" i="4"/>
  <c r="F24" i="4"/>
  <c r="H24" i="4"/>
  <c r="G20" i="4"/>
  <c r="E20" i="4"/>
  <c r="H20" i="4"/>
  <c r="F20" i="4"/>
  <c r="G28" i="4"/>
  <c r="E28" i="4"/>
  <c r="H28" i="4"/>
  <c r="F28" i="4"/>
  <c r="E13" i="1"/>
  <c r="F13" i="1"/>
  <c r="J12" i="5" l="1"/>
  <c r="I13" i="5"/>
  <c r="E13" i="5"/>
  <c r="F13" i="5"/>
  <c r="G13" i="5"/>
  <c r="H13" i="5"/>
  <c r="F8" i="2"/>
  <c r="D8" i="5"/>
  <c r="D8" i="4"/>
  <c r="I5" i="2"/>
  <c r="G4" i="2"/>
  <c r="T25" i="5"/>
  <c r="D16" i="1"/>
  <c r="D17" i="1" s="1"/>
  <c r="T17" i="5"/>
  <c r="T21" i="5"/>
  <c r="T28" i="4"/>
  <c r="Q25" i="4"/>
  <c r="P25" i="4"/>
  <c r="R25" i="4"/>
  <c r="O25" i="4"/>
  <c r="Q21" i="4"/>
  <c r="O21" i="4"/>
  <c r="P21" i="4"/>
  <c r="R21" i="4"/>
  <c r="T24" i="4"/>
  <c r="T20" i="4"/>
  <c r="P17" i="4"/>
  <c r="O17" i="4"/>
  <c r="R17" i="4"/>
  <c r="Q17" i="4"/>
  <c r="J28" i="4"/>
  <c r="J20" i="4"/>
  <c r="J24" i="4"/>
  <c r="H25" i="4"/>
  <c r="G25" i="4"/>
  <c r="E25" i="4"/>
  <c r="F25" i="4"/>
  <c r="H17" i="4"/>
  <c r="F17" i="4"/>
  <c r="G17" i="4"/>
  <c r="E17" i="4"/>
  <c r="H21" i="4"/>
  <c r="F21" i="4"/>
  <c r="E21" i="4"/>
  <c r="G21" i="4"/>
  <c r="E14" i="1"/>
  <c r="F14" i="1"/>
  <c r="F9" i="2" l="1"/>
  <c r="D9" i="4"/>
  <c r="D9" i="5"/>
  <c r="J13" i="5"/>
  <c r="I8" i="5"/>
  <c r="G8" i="5"/>
  <c r="F8" i="5"/>
  <c r="H8" i="5"/>
  <c r="E8" i="5"/>
  <c r="I6" i="2"/>
  <c r="N7" i="5" s="1"/>
  <c r="N6" i="5"/>
  <c r="H4" i="2"/>
  <c r="L5" i="5"/>
  <c r="D34" i="2"/>
  <c r="E34" i="2" s="1"/>
  <c r="D18" i="1"/>
  <c r="T18" i="5"/>
  <c r="T22" i="5"/>
  <c r="T25" i="4"/>
  <c r="T21" i="4"/>
  <c r="P18" i="4"/>
  <c r="Q18" i="4"/>
  <c r="O18" i="4"/>
  <c r="R18" i="4"/>
  <c r="T17" i="4"/>
  <c r="P22" i="4"/>
  <c r="Q22" i="4"/>
  <c r="O22" i="4"/>
  <c r="R22" i="4"/>
  <c r="J21" i="4"/>
  <c r="J17" i="4"/>
  <c r="J25" i="4"/>
  <c r="E22" i="4"/>
  <c r="F22" i="4"/>
  <c r="G22" i="4"/>
  <c r="H22" i="4"/>
  <c r="E18" i="4"/>
  <c r="G18" i="4"/>
  <c r="F18" i="4"/>
  <c r="H18" i="4"/>
  <c r="F15" i="1"/>
  <c r="E15" i="1"/>
  <c r="J8" i="5" l="1"/>
  <c r="F9" i="5"/>
  <c r="G9" i="5"/>
  <c r="I9" i="5"/>
  <c r="E9" i="5"/>
  <c r="H9" i="5"/>
  <c r="D10" i="4"/>
  <c r="D10" i="5"/>
  <c r="F4" i="2"/>
  <c r="P6" i="5"/>
  <c r="Q6" i="5"/>
  <c r="R6" i="5"/>
  <c r="S6" i="5"/>
  <c r="O6" i="5"/>
  <c r="N8" i="5"/>
  <c r="I8" i="2"/>
  <c r="R7" i="5"/>
  <c r="S7" i="5"/>
  <c r="O7" i="5"/>
  <c r="P7" i="5"/>
  <c r="Q7" i="5"/>
  <c r="M5" i="4"/>
  <c r="M5" i="5"/>
  <c r="G7" i="2"/>
  <c r="H7" i="2" s="1"/>
  <c r="D19" i="1"/>
  <c r="D20" i="1" s="1"/>
  <c r="N5" i="4"/>
  <c r="T19" i="5"/>
  <c r="T22" i="4"/>
  <c r="T18" i="4"/>
  <c r="Q19" i="4"/>
  <c r="O19" i="4"/>
  <c r="P19" i="4"/>
  <c r="R19" i="4"/>
  <c r="J18" i="4"/>
  <c r="J22" i="4"/>
  <c r="F19" i="4"/>
  <c r="H19" i="4"/>
  <c r="G19" i="4"/>
  <c r="E19" i="4"/>
  <c r="E16" i="1"/>
  <c r="F16" i="1"/>
  <c r="F10" i="5" l="1"/>
  <c r="G10" i="5"/>
  <c r="J10" i="5" s="1"/>
  <c r="E10" i="5"/>
  <c r="H10" i="5"/>
  <c r="I10" i="5"/>
  <c r="J9" i="5"/>
  <c r="F5" i="2"/>
  <c r="D5" i="5"/>
  <c r="D5" i="4"/>
  <c r="D4" i="2"/>
  <c r="D7" i="2" s="1"/>
  <c r="B8" i="5" s="1"/>
  <c r="O8" i="5"/>
  <c r="P8" i="5"/>
  <c r="Q8" i="5"/>
  <c r="R8" i="5"/>
  <c r="S8" i="5"/>
  <c r="I9" i="2"/>
  <c r="N10" i="5" s="1"/>
  <c r="N9" i="5"/>
  <c r="E8" i="4"/>
  <c r="L8" i="5"/>
  <c r="D21" i="1"/>
  <c r="D22" i="1" s="1"/>
  <c r="N6" i="4"/>
  <c r="R5" i="4"/>
  <c r="P5" i="4"/>
  <c r="Q5" i="4"/>
  <c r="O5" i="4"/>
  <c r="T19" i="4"/>
  <c r="J19" i="4"/>
  <c r="H8" i="4"/>
  <c r="F8" i="4"/>
  <c r="F17" i="1"/>
  <c r="E17" i="1"/>
  <c r="E5" i="5" l="1"/>
  <c r="I5" i="5"/>
  <c r="F5" i="5"/>
  <c r="G5" i="5"/>
  <c r="H5" i="5"/>
  <c r="D6" i="4"/>
  <c r="D6" i="5"/>
  <c r="B5" i="5"/>
  <c r="E4" i="2"/>
  <c r="E7" i="2" s="1"/>
  <c r="Q9" i="5"/>
  <c r="R9" i="5"/>
  <c r="S9" i="5"/>
  <c r="O9" i="5"/>
  <c r="P9" i="5"/>
  <c r="R10" i="5"/>
  <c r="S10" i="5"/>
  <c r="O10" i="5"/>
  <c r="P10" i="5"/>
  <c r="Q10" i="5"/>
  <c r="G8" i="4"/>
  <c r="J8" i="4" s="1"/>
  <c r="F11" i="4"/>
  <c r="D10" i="2"/>
  <c r="B11" i="5" s="1"/>
  <c r="F13" i="4"/>
  <c r="Q14" i="4"/>
  <c r="O14" i="4"/>
  <c r="P14" i="4"/>
  <c r="R14" i="4"/>
  <c r="M8" i="4"/>
  <c r="M8" i="5"/>
  <c r="N10" i="4"/>
  <c r="R10" i="4" s="1"/>
  <c r="D23" i="1"/>
  <c r="D24" i="1" s="1"/>
  <c r="D25" i="1" s="1"/>
  <c r="N7" i="4"/>
  <c r="R6" i="4"/>
  <c r="Q6" i="4"/>
  <c r="O6" i="4"/>
  <c r="P6" i="4"/>
  <c r="T5" i="4"/>
  <c r="T5" i="5"/>
  <c r="H9" i="4"/>
  <c r="F9" i="4"/>
  <c r="G9" i="4"/>
  <c r="E9" i="4"/>
  <c r="H5" i="4"/>
  <c r="E5" i="4"/>
  <c r="G5" i="4"/>
  <c r="F5" i="4"/>
  <c r="H13" i="4"/>
  <c r="E13" i="4"/>
  <c r="G13" i="4"/>
  <c r="F18" i="1"/>
  <c r="E18" i="1"/>
  <c r="C8" i="4" l="1"/>
  <c r="C8" i="5"/>
  <c r="J5" i="5"/>
  <c r="I6" i="5"/>
  <c r="E6" i="5"/>
  <c r="F6" i="5"/>
  <c r="G6" i="5"/>
  <c r="H6" i="5"/>
  <c r="C5" i="5"/>
  <c r="C5" i="4"/>
  <c r="I11" i="2"/>
  <c r="I12" i="2" s="1"/>
  <c r="N11" i="5"/>
  <c r="N11" i="4"/>
  <c r="G10" i="2"/>
  <c r="H11" i="4"/>
  <c r="G11" i="4"/>
  <c r="E11" i="4"/>
  <c r="E10" i="2"/>
  <c r="C11" i="5" s="1"/>
  <c r="D13" i="2"/>
  <c r="T14" i="4"/>
  <c r="P15" i="4"/>
  <c r="R15" i="4"/>
  <c r="O15" i="4"/>
  <c r="Q15" i="4"/>
  <c r="T14" i="5"/>
  <c r="P10" i="4"/>
  <c r="O10" i="4"/>
  <c r="Q10" i="4"/>
  <c r="T10" i="4" s="1"/>
  <c r="F12" i="4"/>
  <c r="H12" i="4"/>
  <c r="E12" i="4"/>
  <c r="G12" i="4"/>
  <c r="N8" i="4"/>
  <c r="D26" i="1"/>
  <c r="E26" i="1" s="1"/>
  <c r="T6" i="4"/>
  <c r="O7" i="4"/>
  <c r="R7" i="4"/>
  <c r="P7" i="4"/>
  <c r="Q7" i="4"/>
  <c r="T6" i="5"/>
  <c r="J9" i="4"/>
  <c r="J5" i="4"/>
  <c r="J13" i="4"/>
  <c r="E10" i="4"/>
  <c r="F10" i="4"/>
  <c r="G10" i="4"/>
  <c r="H10" i="4"/>
  <c r="E6" i="4"/>
  <c r="H6" i="4"/>
  <c r="F6" i="4"/>
  <c r="G6" i="4"/>
  <c r="F19" i="1"/>
  <c r="E19" i="1"/>
  <c r="J6" i="5" l="1"/>
  <c r="N13" i="5"/>
  <c r="N13" i="4"/>
  <c r="H10" i="2"/>
  <c r="L11" i="5"/>
  <c r="G13" i="2"/>
  <c r="P11" i="4"/>
  <c r="Q11" i="4"/>
  <c r="T11" i="4" s="1"/>
  <c r="O11" i="4"/>
  <c r="R11" i="4"/>
  <c r="O11" i="5"/>
  <c r="P11" i="5"/>
  <c r="Q11" i="5"/>
  <c r="R11" i="5"/>
  <c r="S11" i="5"/>
  <c r="N12" i="5"/>
  <c r="N12" i="4"/>
  <c r="J11" i="4"/>
  <c r="E13" i="2"/>
  <c r="C14" i="4" s="1"/>
  <c r="C11" i="4"/>
  <c r="E14" i="4"/>
  <c r="F14" i="4"/>
  <c r="G14" i="4"/>
  <c r="H14" i="4"/>
  <c r="D16" i="2"/>
  <c r="B14" i="5"/>
  <c r="T15" i="5"/>
  <c r="T15" i="4"/>
  <c r="Q16" i="4"/>
  <c r="R16" i="4"/>
  <c r="P16" i="4"/>
  <c r="O16" i="4"/>
  <c r="J12" i="4"/>
  <c r="T10" i="5"/>
  <c r="N9" i="4"/>
  <c r="R8" i="4"/>
  <c r="P8" i="4"/>
  <c r="Q8" i="4"/>
  <c r="O8" i="4"/>
  <c r="D27" i="1"/>
  <c r="D28" i="1" s="1"/>
  <c r="T7" i="5"/>
  <c r="T7" i="4"/>
  <c r="F7" i="4"/>
  <c r="H7" i="4"/>
  <c r="E7" i="4"/>
  <c r="G7" i="4"/>
  <c r="J6" i="4"/>
  <c r="J10" i="4"/>
  <c r="E20" i="1"/>
  <c r="F20" i="1"/>
  <c r="P13" i="4" l="1"/>
  <c r="R13" i="4"/>
  <c r="O13" i="4"/>
  <c r="Q13" i="4"/>
  <c r="S13" i="5"/>
  <c r="O13" i="5"/>
  <c r="P13" i="5"/>
  <c r="R13" i="5"/>
  <c r="Q13" i="5"/>
  <c r="T11" i="5"/>
  <c r="H13" i="2"/>
  <c r="G16" i="2"/>
  <c r="L14" i="5"/>
  <c r="O12" i="4"/>
  <c r="P12" i="4"/>
  <c r="R12" i="4"/>
  <c r="Q12" i="4"/>
  <c r="Q12" i="5"/>
  <c r="R12" i="5"/>
  <c r="S12" i="5"/>
  <c r="O12" i="5"/>
  <c r="P12" i="5"/>
  <c r="M11" i="5"/>
  <c r="M11" i="4"/>
  <c r="C14" i="5"/>
  <c r="J14" i="4"/>
  <c r="F15" i="4"/>
  <c r="G15" i="4"/>
  <c r="E15" i="4"/>
  <c r="H15" i="4"/>
  <c r="D19" i="2"/>
  <c r="B17" i="5"/>
  <c r="E16" i="2"/>
  <c r="T16" i="4"/>
  <c r="T16" i="5"/>
  <c r="D29" i="1"/>
  <c r="D30" i="1" s="1"/>
  <c r="D31" i="1" s="1"/>
  <c r="T8" i="4"/>
  <c r="T8" i="5"/>
  <c r="Q9" i="4"/>
  <c r="O9" i="4"/>
  <c r="R9" i="4"/>
  <c r="P9" i="4"/>
  <c r="J7" i="4"/>
  <c r="F21" i="1"/>
  <c r="E21" i="1"/>
  <c r="T13" i="4" l="1"/>
  <c r="T12" i="4"/>
  <c r="T13" i="5"/>
  <c r="T12" i="5"/>
  <c r="H16" i="2"/>
  <c r="G19" i="2"/>
  <c r="L17" i="5"/>
  <c r="M14" i="4"/>
  <c r="M14" i="5"/>
  <c r="J15" i="4"/>
  <c r="D22" i="2"/>
  <c r="B20" i="5"/>
  <c r="G16" i="4"/>
  <c r="H16" i="4"/>
  <c r="F16" i="4"/>
  <c r="E16" i="4"/>
  <c r="E19" i="2"/>
  <c r="C17" i="4"/>
  <c r="C17" i="5"/>
  <c r="D32" i="1"/>
  <c r="D33" i="1" s="1"/>
  <c r="D34" i="1" s="1"/>
  <c r="T9" i="5"/>
  <c r="T9" i="4"/>
  <c r="AD33" i="6"/>
  <c r="E51" i="6" s="1"/>
  <c r="F22" i="1"/>
  <c r="E22" i="1"/>
  <c r="H19" i="2" l="1"/>
  <c r="G22" i="2"/>
  <c r="L20" i="5"/>
  <c r="M17" i="5"/>
  <c r="M17" i="4"/>
  <c r="J16" i="4"/>
  <c r="C20" i="5"/>
  <c r="C20" i="4"/>
  <c r="D25" i="2"/>
  <c r="D28" i="2" s="1"/>
  <c r="E22" i="2"/>
  <c r="B23" i="5"/>
  <c r="D35" i="1"/>
  <c r="D36" i="1" s="1"/>
  <c r="E23" i="1"/>
  <c r="F23" i="1"/>
  <c r="H22" i="2" l="1"/>
  <c r="G25" i="2"/>
  <c r="L23" i="5"/>
  <c r="M20" i="5"/>
  <c r="M20" i="4"/>
  <c r="E25" i="2"/>
  <c r="E28" i="2" s="1"/>
  <c r="C29" i="4" s="1"/>
  <c r="C23" i="5"/>
  <c r="C23" i="4"/>
  <c r="B26" i="5"/>
  <c r="G31" i="2"/>
  <c r="H31" i="2" s="1"/>
  <c r="L29" i="5"/>
  <c r="D37" i="1"/>
  <c r="D38" i="1" s="1"/>
  <c r="D39" i="1" s="1"/>
  <c r="D40" i="1" s="1"/>
  <c r="F24" i="1"/>
  <c r="E24" i="1"/>
  <c r="H25" i="2" l="1"/>
  <c r="L26" i="5"/>
  <c r="M23" i="4"/>
  <c r="M23" i="5"/>
  <c r="D31" i="2"/>
  <c r="B29" i="5"/>
  <c r="C26" i="4"/>
  <c r="C26" i="5"/>
  <c r="G34" i="2"/>
  <c r="H34" i="2" s="1"/>
  <c r="L32" i="5"/>
  <c r="M29" i="4"/>
  <c r="E25" i="1"/>
  <c r="F25" i="1"/>
  <c r="M26" i="5" l="1"/>
  <c r="M26" i="4"/>
  <c r="C29" i="5"/>
  <c r="E31" i="2"/>
  <c r="B32" i="5"/>
  <c r="Q5" i="3"/>
  <c r="M32" i="5"/>
  <c r="G37" i="2"/>
  <c r="H37" i="2" s="1"/>
  <c r="N5" i="1"/>
  <c r="F26" i="1"/>
  <c r="C32" i="5" l="1"/>
  <c r="Q7" i="3"/>
  <c r="Q6" i="3"/>
  <c r="Q8" i="3"/>
  <c r="N6" i="1"/>
  <c r="N7" i="1" s="1"/>
  <c r="G40" i="2"/>
  <c r="H40" i="2" s="1"/>
  <c r="E27" i="1"/>
  <c r="F27" i="1"/>
  <c r="Q11" i="3" l="1"/>
  <c r="Q10" i="3"/>
  <c r="Q9" i="3"/>
  <c r="N8" i="1"/>
  <c r="G43" i="2"/>
  <c r="H43" i="2" s="1"/>
  <c r="F28" i="1"/>
  <c r="E28" i="1"/>
  <c r="Q14" i="3" l="1"/>
  <c r="Q13" i="3"/>
  <c r="Q12" i="3"/>
  <c r="N9" i="1"/>
  <c r="N10" i="1" s="1"/>
  <c r="G46" i="2"/>
  <c r="F29" i="1"/>
  <c r="E29" i="1"/>
  <c r="Q16" i="3" l="1"/>
  <c r="Q15" i="3"/>
  <c r="Q17" i="3"/>
  <c r="N11" i="1"/>
  <c r="N12" i="1" s="1"/>
  <c r="N13" i="1" s="1"/>
  <c r="N14" i="1" s="1"/>
  <c r="N15" i="1" s="1"/>
  <c r="P15" i="1" s="1"/>
  <c r="H46" i="2"/>
  <c r="F30" i="1"/>
  <c r="E30" i="1"/>
  <c r="Q19" i="3" l="1"/>
  <c r="Q18" i="3"/>
  <c r="Q20" i="3"/>
  <c r="N16" i="1"/>
  <c r="P16" i="1" s="1"/>
  <c r="O15" i="1"/>
  <c r="M32" i="4"/>
  <c r="O5" i="1"/>
  <c r="P5" i="1"/>
  <c r="F31" i="1"/>
  <c r="E31" i="1"/>
  <c r="N17" i="1" l="1"/>
  <c r="N18" i="1" s="1"/>
  <c r="Q22" i="3"/>
  <c r="Q21" i="3"/>
  <c r="Q23" i="3"/>
  <c r="O16" i="1"/>
  <c r="O6" i="1"/>
  <c r="P6" i="1"/>
  <c r="E32" i="1"/>
  <c r="F32" i="1"/>
  <c r="P17" i="1" l="1"/>
  <c r="O17" i="1"/>
  <c r="Q25" i="3"/>
  <c r="Q24" i="3"/>
  <c r="Q26" i="3"/>
  <c r="N19" i="1"/>
  <c r="P18" i="1"/>
  <c r="O18" i="1"/>
  <c r="O7" i="1"/>
  <c r="P7" i="1"/>
  <c r="F33" i="1"/>
  <c r="E33" i="1"/>
  <c r="Q28" i="3" l="1"/>
  <c r="Q27" i="3"/>
  <c r="N30" i="3"/>
  <c r="Q29" i="3"/>
  <c r="O19" i="1"/>
  <c r="P19" i="1"/>
  <c r="N20" i="1"/>
  <c r="P8" i="1"/>
  <c r="O8" i="1"/>
  <c r="F34" i="1"/>
  <c r="E34" i="1"/>
  <c r="N31" i="3" l="1"/>
  <c r="Q31" i="3" s="1"/>
  <c r="Q30" i="3"/>
  <c r="N33" i="3"/>
  <c r="Q32" i="3"/>
  <c r="N21" i="1"/>
  <c r="O20" i="1"/>
  <c r="P20" i="1"/>
  <c r="O9" i="1"/>
  <c r="P9" i="1"/>
  <c r="E35" i="1"/>
  <c r="F35" i="1"/>
  <c r="N34" i="3" l="1"/>
  <c r="Q34" i="3" s="1"/>
  <c r="Q33" i="3"/>
  <c r="N36" i="3"/>
  <c r="Q35" i="3"/>
  <c r="N22" i="1"/>
  <c r="O21" i="1"/>
  <c r="P21" i="1"/>
  <c r="P11" i="1"/>
  <c r="O11" i="1"/>
  <c r="P10" i="1"/>
  <c r="O10" i="1"/>
  <c r="F36" i="1"/>
  <c r="E36" i="1"/>
  <c r="N37" i="3" l="1"/>
  <c r="Q37" i="3" s="1"/>
  <c r="Q36" i="3"/>
  <c r="Q38" i="3"/>
  <c r="P22" i="1"/>
  <c r="O22" i="1"/>
  <c r="N23" i="1"/>
  <c r="P12" i="1"/>
  <c r="O12" i="1"/>
  <c r="E37" i="1"/>
  <c r="F37" i="1"/>
  <c r="Q40" i="3" l="1"/>
  <c r="Q39" i="3"/>
  <c r="N24" i="1"/>
  <c r="P23" i="1"/>
  <c r="O23" i="1"/>
  <c r="P13" i="1"/>
  <c r="O13" i="1"/>
  <c r="F38" i="1"/>
  <c r="E38" i="1"/>
  <c r="N25" i="1" l="1"/>
  <c r="P24" i="1"/>
  <c r="O24" i="1"/>
  <c r="O14" i="1"/>
  <c r="P14" i="1"/>
  <c r="E39" i="1"/>
  <c r="F39" i="1"/>
  <c r="P25" i="1" l="1"/>
  <c r="O25" i="1"/>
  <c r="N26" i="1"/>
  <c r="E40" i="1"/>
  <c r="F40" i="1"/>
  <c r="N27" i="1" l="1"/>
  <c r="P26" i="1"/>
  <c r="O26" i="1"/>
  <c r="N28" i="1" l="1"/>
  <c r="P27" i="1"/>
  <c r="O27" i="1"/>
  <c r="P28" i="1" l="1"/>
  <c r="O28" i="1"/>
  <c r="N29" i="1"/>
  <c r="N32" i="1" s="1"/>
  <c r="P29" i="1" l="1"/>
  <c r="O29" i="1"/>
  <c r="AC33" i="6"/>
  <c r="D51" i="6" s="1"/>
  <c r="AB33" i="6"/>
  <c r="P30" i="1" l="1"/>
  <c r="O30" i="1"/>
  <c r="C51" i="6"/>
  <c r="AB32" i="6"/>
  <c r="C50" i="6" l="1"/>
  <c r="AC32" i="6"/>
  <c r="D50" i="6" s="1"/>
  <c r="P32" i="1" l="1"/>
  <c r="O32" i="1"/>
  <c r="N33" i="1"/>
  <c r="AD32" i="6"/>
  <c r="E50" i="6" s="1"/>
  <c r="N34" i="1" l="1"/>
  <c r="N35" i="1" s="1"/>
  <c r="P33" i="1"/>
  <c r="O33" i="1"/>
  <c r="O34" i="1" l="1"/>
  <c r="P34" i="1"/>
  <c r="N36" i="1" l="1"/>
  <c r="N37" i="1" s="1"/>
  <c r="P35" i="1"/>
  <c r="O35" i="1"/>
  <c r="O43" i="3"/>
  <c r="S43" i="3"/>
  <c r="P43" i="3"/>
  <c r="P36" i="1" l="1"/>
  <c r="O36" i="1"/>
  <c r="P38" i="3"/>
  <c r="O38" i="3"/>
  <c r="S38" i="3"/>
  <c r="T43" i="3"/>
  <c r="P37" i="1" l="1"/>
  <c r="O37" i="1"/>
  <c r="N38" i="1"/>
  <c r="T38" i="3"/>
  <c r="O39" i="3"/>
  <c r="S39" i="3"/>
  <c r="P39" i="3"/>
  <c r="N39" i="1" l="1"/>
  <c r="O38" i="1"/>
  <c r="P38" i="1"/>
  <c r="AB30" i="6" s="1"/>
  <c r="T39" i="3"/>
  <c r="P40" i="3"/>
  <c r="O40" i="3"/>
  <c r="S40" i="3"/>
  <c r="C48" i="6" l="1"/>
  <c r="N40" i="1"/>
  <c r="O39" i="1"/>
  <c r="P39" i="1"/>
  <c r="AC30" i="6" s="1"/>
  <c r="P35" i="3"/>
  <c r="AB29" i="6" s="1"/>
  <c r="O35" i="3"/>
  <c r="S35" i="3"/>
  <c r="T40" i="3"/>
  <c r="D48" i="6" l="1"/>
  <c r="O40" i="1"/>
  <c r="P40" i="1"/>
  <c r="AD30" i="6" s="1"/>
  <c r="N41" i="1"/>
  <c r="D5" i="3" s="1"/>
  <c r="C47" i="6"/>
  <c r="T35" i="3"/>
  <c r="O36" i="3"/>
  <c r="P36" i="3"/>
  <c r="AC29" i="6" s="1"/>
  <c r="S36" i="3"/>
  <c r="D6" i="3" l="1"/>
  <c r="D7" i="3" s="1"/>
  <c r="D8" i="3"/>
  <c r="E48" i="6"/>
  <c r="N42" i="1"/>
  <c r="P41" i="1"/>
  <c r="AB31" i="6" s="1"/>
  <c r="O41" i="1"/>
  <c r="D47" i="6"/>
  <c r="T36" i="3"/>
  <c r="S37" i="3"/>
  <c r="T37" i="3" s="1"/>
  <c r="O37" i="3"/>
  <c r="P37" i="3"/>
  <c r="AD29" i="6" s="1"/>
  <c r="E47" i="6" s="1"/>
  <c r="D9" i="3" l="1"/>
  <c r="D10" i="3" s="1"/>
  <c r="D11" i="3"/>
  <c r="C49" i="6"/>
  <c r="N43" i="1"/>
  <c r="P42" i="1"/>
  <c r="AC31" i="6" s="1"/>
  <c r="O42" i="1"/>
  <c r="S32" i="3"/>
  <c r="O32" i="3"/>
  <c r="P32" i="3"/>
  <c r="AB28" i="6" s="1"/>
  <c r="C46" i="6" l="1"/>
  <c r="D12" i="3"/>
  <c r="D13" i="3" s="1"/>
  <c r="D14" i="3"/>
  <c r="D49" i="6"/>
  <c r="P43" i="1"/>
  <c r="AD31" i="6" s="1"/>
  <c r="O43" i="1"/>
  <c r="T32" i="3"/>
  <c r="O33" i="3"/>
  <c r="P33" i="3"/>
  <c r="AC28" i="6" s="1"/>
  <c r="S33" i="3"/>
  <c r="D46" i="6" l="1"/>
  <c r="E49" i="6"/>
  <c r="D15" i="3"/>
  <c r="D17" i="3"/>
  <c r="T33" i="3"/>
  <c r="O34" i="3"/>
  <c r="P34" i="3"/>
  <c r="AD28" i="6" s="1"/>
  <c r="E46" i="6" s="1"/>
  <c r="S34" i="3"/>
  <c r="T34" i="3" s="1"/>
  <c r="D16" i="3" l="1"/>
  <c r="E15" i="3"/>
  <c r="D20" i="3"/>
  <c r="P29" i="3"/>
  <c r="AB27" i="6" s="1"/>
  <c r="C27" i="6" s="1"/>
  <c r="O29" i="3"/>
  <c r="S29" i="3"/>
  <c r="D21" i="3" l="1"/>
  <c r="D22" i="3" s="1"/>
  <c r="D23" i="3"/>
  <c r="C45" i="6"/>
  <c r="T29" i="3"/>
  <c r="S30" i="3"/>
  <c r="O30" i="3"/>
  <c r="P30" i="3"/>
  <c r="AC27" i="6" s="1"/>
  <c r="D24" i="3" l="1"/>
  <c r="D25" i="3" s="1"/>
  <c r="D26" i="3"/>
  <c r="T30" i="3"/>
  <c r="D27" i="6"/>
  <c r="D45" i="6" s="1"/>
  <c r="O31" i="3"/>
  <c r="P31" i="3"/>
  <c r="AD27" i="6" s="1"/>
  <c r="S31" i="3"/>
  <c r="D27" i="3" l="1"/>
  <c r="D28" i="3" s="1"/>
  <c r="D29" i="3"/>
  <c r="E27" i="6"/>
  <c r="E45" i="6" s="1"/>
  <c r="T31" i="3"/>
  <c r="P26" i="3"/>
  <c r="AB26" i="6" s="1"/>
  <c r="C26" i="6" s="1"/>
  <c r="O26" i="3"/>
  <c r="S26" i="3"/>
  <c r="D30" i="3" l="1"/>
  <c r="D31" i="3" s="1"/>
  <c r="D32" i="3"/>
  <c r="T26" i="3"/>
  <c r="C44" i="6"/>
  <c r="O27" i="3"/>
  <c r="S27" i="3"/>
  <c r="P27" i="3"/>
  <c r="AC26" i="6" s="1"/>
  <c r="D26" i="6" s="1"/>
  <c r="D44" i="6" s="1"/>
  <c r="D33" i="3" l="1"/>
  <c r="D34" i="3" s="1"/>
  <c r="D35" i="3"/>
  <c r="T27" i="3"/>
  <c r="O28" i="3"/>
  <c r="P28" i="3"/>
  <c r="AD26" i="6" s="1"/>
  <c r="E26" i="6" s="1"/>
  <c r="E44" i="6" s="1"/>
  <c r="S28" i="3"/>
  <c r="D36" i="3" l="1"/>
  <c r="D37" i="3" s="1"/>
  <c r="D38" i="3"/>
  <c r="E35" i="3"/>
  <c r="T28" i="3"/>
  <c r="S23" i="3"/>
  <c r="T23" i="3" s="1"/>
  <c r="P23" i="3"/>
  <c r="AB25" i="6" s="1"/>
  <c r="C25" i="6" s="1"/>
  <c r="O23" i="3"/>
  <c r="F37" i="3" l="1"/>
  <c r="AD14" i="6" s="1"/>
  <c r="E37" i="3"/>
  <c r="G37" i="3"/>
  <c r="J37" i="3" s="1"/>
  <c r="D39" i="3"/>
  <c r="D40" i="3" s="1"/>
  <c r="D41" i="3"/>
  <c r="D42" i="3" s="1"/>
  <c r="D43" i="3" s="1"/>
  <c r="C43" i="6"/>
  <c r="S24" i="3"/>
  <c r="T24" i="3" s="1"/>
  <c r="O24" i="3"/>
  <c r="P24" i="3"/>
  <c r="AC25" i="6" s="1"/>
  <c r="F40" i="3" l="1"/>
  <c r="AD15" i="6" s="1"/>
  <c r="G40" i="3"/>
  <c r="J40" i="3" s="1"/>
  <c r="E40" i="3"/>
  <c r="D25" i="6"/>
  <c r="D43" i="6" s="1"/>
  <c r="S25" i="3"/>
  <c r="T25" i="3" s="1"/>
  <c r="O25" i="3"/>
  <c r="P25" i="3"/>
  <c r="AD25" i="6" s="1"/>
  <c r="E25" i="6" s="1"/>
  <c r="E43" i="6" s="1"/>
  <c r="S20" i="3" l="1"/>
  <c r="P20" i="3"/>
  <c r="AB24" i="6" s="1"/>
  <c r="O20" i="3"/>
  <c r="C24" i="6" l="1"/>
  <c r="C42" i="6" s="1"/>
  <c r="T20" i="3"/>
  <c r="S21" i="3"/>
  <c r="T21" i="3" s="1"/>
  <c r="O21" i="3"/>
  <c r="P21" i="3"/>
  <c r="AC24" i="6" s="1"/>
  <c r="D24" i="6" l="1"/>
  <c r="D42" i="6" s="1"/>
  <c r="S22" i="3"/>
  <c r="P22" i="3"/>
  <c r="AD24" i="6" s="1"/>
  <c r="E24" i="6" s="1"/>
  <c r="E42" i="6" s="1"/>
  <c r="O22" i="3"/>
  <c r="T22" i="3" l="1"/>
  <c r="S17" i="3"/>
  <c r="T17" i="3" s="1"/>
  <c r="P17" i="3"/>
  <c r="AB23" i="6" s="1"/>
  <c r="C23" i="6" s="1"/>
  <c r="O17" i="3"/>
  <c r="C41" i="6" l="1"/>
  <c r="O18" i="3"/>
  <c r="P18" i="3"/>
  <c r="AC23" i="6" s="1"/>
  <c r="D23" i="6" s="1"/>
  <c r="D41" i="6" s="1"/>
  <c r="S18" i="3"/>
  <c r="T18" i="3" l="1"/>
  <c r="P19" i="3"/>
  <c r="AD23" i="6" s="1"/>
  <c r="E23" i="6" s="1"/>
  <c r="E41" i="6" s="1"/>
  <c r="S19" i="3"/>
  <c r="O19" i="3"/>
  <c r="T19" i="3" l="1"/>
  <c r="S14" i="3"/>
  <c r="T14" i="3" s="1"/>
  <c r="P14" i="3"/>
  <c r="AB22" i="6" s="1"/>
  <c r="C22" i="6" s="1"/>
  <c r="O14" i="3"/>
  <c r="C40" i="6" l="1"/>
  <c r="S15" i="3"/>
  <c r="T15" i="3" s="1"/>
  <c r="O15" i="3"/>
  <c r="P15" i="3"/>
  <c r="AC22" i="6" s="1"/>
  <c r="D22" i="6" s="1"/>
  <c r="D40" i="6" s="1"/>
  <c r="S11" i="3" l="1"/>
  <c r="O11" i="3"/>
  <c r="P11" i="3"/>
  <c r="AB21" i="6" s="1"/>
  <c r="C21" i="6" s="1"/>
  <c r="C39" i="6" s="1"/>
  <c r="S16" i="3"/>
  <c r="O16" i="3"/>
  <c r="P16" i="3"/>
  <c r="AD22" i="6" s="1"/>
  <c r="E22" i="6" s="1"/>
  <c r="E40" i="6" s="1"/>
  <c r="T11" i="3" l="1"/>
  <c r="T16" i="3"/>
  <c r="P12" i="3"/>
  <c r="AC21" i="6" s="1"/>
  <c r="S12" i="3"/>
  <c r="O12" i="3"/>
  <c r="T12" i="3" l="1"/>
  <c r="D21" i="6"/>
  <c r="D39" i="6" s="1"/>
  <c r="P13" i="3"/>
  <c r="AD21" i="6" s="1"/>
  <c r="E21" i="6" s="1"/>
  <c r="E39" i="6" s="1"/>
  <c r="O13" i="3"/>
  <c r="S13" i="3"/>
  <c r="P8" i="3" l="1"/>
  <c r="AB20" i="6" s="1"/>
  <c r="S8" i="3"/>
  <c r="O8" i="3"/>
  <c r="T13" i="3"/>
  <c r="C20" i="6" l="1"/>
  <c r="C38" i="6" s="1"/>
  <c r="T8" i="3"/>
  <c r="O9" i="3"/>
  <c r="P9" i="3"/>
  <c r="AC20" i="6" s="1"/>
  <c r="S9" i="3"/>
  <c r="D20" i="6" l="1"/>
  <c r="D38" i="6" s="1"/>
  <c r="T9" i="3"/>
  <c r="O10" i="3"/>
  <c r="P10" i="3"/>
  <c r="AD20" i="6" s="1"/>
  <c r="E20" i="6" s="1"/>
  <c r="E38" i="6" s="1"/>
  <c r="S10" i="3"/>
  <c r="T10" i="3" s="1"/>
  <c r="O5" i="3" l="1"/>
  <c r="P5" i="3"/>
  <c r="AB19" i="6" s="1"/>
  <c r="S5" i="3"/>
  <c r="C19" i="6" l="1"/>
  <c r="B19" i="6" s="1"/>
  <c r="T5" i="3"/>
  <c r="O6" i="3"/>
  <c r="P6" i="3"/>
  <c r="AC19" i="6" s="1"/>
  <c r="S6" i="3"/>
  <c r="C37" i="6" l="1"/>
  <c r="D19" i="6"/>
  <c r="D37" i="6" s="1"/>
  <c r="B37" i="6"/>
  <c r="F37" i="6" s="1"/>
  <c r="G37" i="6" s="1"/>
  <c r="H37" i="6" s="1"/>
  <c r="I37" i="6" s="1"/>
  <c r="J37" i="6" s="1"/>
  <c r="K37" i="6" s="1"/>
  <c r="L37" i="6" s="1"/>
  <c r="M37" i="6" s="1"/>
  <c r="N37" i="6" s="1"/>
  <c r="O37" i="6" s="1"/>
  <c r="F19" i="6" s="1"/>
  <c r="G19" i="6" s="1"/>
  <c r="H19" i="6" s="1"/>
  <c r="I19" i="6" s="1"/>
  <c r="J19" i="6" s="1"/>
  <c r="K19" i="6" s="1"/>
  <c r="L19" i="6" s="1"/>
  <c r="M19" i="6" s="1"/>
  <c r="N19" i="6" s="1"/>
  <c r="O19" i="6" s="1"/>
  <c r="B20" i="6"/>
  <c r="T6" i="3"/>
  <c r="S7" i="3"/>
  <c r="T7" i="3" s="1"/>
  <c r="O7" i="3"/>
  <c r="P7" i="3"/>
  <c r="AD19" i="6" s="1"/>
  <c r="E19" i="6" s="1"/>
  <c r="E37" i="6" s="1"/>
  <c r="B21" i="6" l="1"/>
  <c r="B38" i="6"/>
  <c r="AB18" i="6"/>
  <c r="F38" i="6" l="1"/>
  <c r="G38" i="6" s="1"/>
  <c r="H38" i="6" s="1"/>
  <c r="I38" i="6" s="1"/>
  <c r="J38" i="6" s="1"/>
  <c r="K38" i="6" s="1"/>
  <c r="L38" i="6" s="1"/>
  <c r="M38" i="6" s="1"/>
  <c r="N38" i="6" s="1"/>
  <c r="O38" i="6" s="1"/>
  <c r="F20" i="6" s="1"/>
  <c r="G20" i="6" s="1"/>
  <c r="H20" i="6" s="1"/>
  <c r="I20" i="6" s="1"/>
  <c r="J20" i="6" s="1"/>
  <c r="K20" i="6" s="1"/>
  <c r="L20" i="6" s="1"/>
  <c r="M20" i="6" s="1"/>
  <c r="N20" i="6" s="1"/>
  <c r="O20" i="6" s="1"/>
  <c r="B39" i="6"/>
  <c r="B22" i="6"/>
  <c r="AC18" i="6"/>
  <c r="B40" i="6" l="1"/>
  <c r="B23" i="6"/>
  <c r="F39" i="6"/>
  <c r="AB17" i="6"/>
  <c r="AD18" i="6"/>
  <c r="F40" i="6" l="1"/>
  <c r="G40" i="6" s="1"/>
  <c r="H40" i="6" s="1"/>
  <c r="I40" i="6" s="1"/>
  <c r="J40" i="6" s="1"/>
  <c r="K40" i="6" s="1"/>
  <c r="L40" i="6" s="1"/>
  <c r="M40" i="6" s="1"/>
  <c r="N40" i="6" s="1"/>
  <c r="O40" i="6" s="1"/>
  <c r="F22" i="6" s="1"/>
  <c r="G22" i="6" s="1"/>
  <c r="H22" i="6" s="1"/>
  <c r="I22" i="6" s="1"/>
  <c r="J22" i="6" s="1"/>
  <c r="K22" i="6" s="1"/>
  <c r="L22" i="6" s="1"/>
  <c r="M22" i="6" s="1"/>
  <c r="N22" i="6" s="1"/>
  <c r="O22" i="6" s="1"/>
  <c r="G39" i="6"/>
  <c r="H39" i="6" s="1"/>
  <c r="I39" i="6" s="1"/>
  <c r="J39" i="6" s="1"/>
  <c r="K39" i="6" s="1"/>
  <c r="L39" i="6" s="1"/>
  <c r="M39" i="6" s="1"/>
  <c r="N39" i="6" s="1"/>
  <c r="O39" i="6" s="1"/>
  <c r="F21" i="6" s="1"/>
  <c r="G21" i="6" s="1"/>
  <c r="H21" i="6" s="1"/>
  <c r="I21" i="6" s="1"/>
  <c r="J21" i="6" s="1"/>
  <c r="K21" i="6" s="1"/>
  <c r="L21" i="6" s="1"/>
  <c r="M21" i="6" s="1"/>
  <c r="N21" i="6" s="1"/>
  <c r="O21" i="6" s="1"/>
  <c r="B41" i="6"/>
  <c r="B24" i="6"/>
  <c r="AC17" i="6"/>
  <c r="B42" i="6" l="1"/>
  <c r="B25" i="6"/>
  <c r="F41" i="6"/>
  <c r="G41" i="6" s="1"/>
  <c r="H41" i="6" s="1"/>
  <c r="I41" i="6" s="1"/>
  <c r="J41" i="6" s="1"/>
  <c r="K41" i="6" s="1"/>
  <c r="L41" i="6" s="1"/>
  <c r="M41" i="6" s="1"/>
  <c r="N41" i="6" s="1"/>
  <c r="O41" i="6" s="1"/>
  <c r="F23" i="6" s="1"/>
  <c r="G23" i="6" s="1"/>
  <c r="H23" i="6" s="1"/>
  <c r="I23" i="6" s="1"/>
  <c r="J23" i="6" s="1"/>
  <c r="K23" i="6" s="1"/>
  <c r="L23" i="6" s="1"/>
  <c r="M23" i="6" s="1"/>
  <c r="N23" i="6" s="1"/>
  <c r="O23" i="6" s="1"/>
  <c r="AD17" i="6"/>
  <c r="B43" i="6" l="1"/>
  <c r="B26" i="6"/>
  <c r="F42" i="6"/>
  <c r="G42" i="6" s="1"/>
  <c r="H42" i="6" s="1"/>
  <c r="I42" i="6" s="1"/>
  <c r="J42" i="6" s="1"/>
  <c r="K42" i="6" s="1"/>
  <c r="L42" i="6" s="1"/>
  <c r="M42" i="6" s="1"/>
  <c r="N42" i="6" s="1"/>
  <c r="O42" i="6" s="1"/>
  <c r="F24" i="6" s="1"/>
  <c r="G24" i="6" s="1"/>
  <c r="H24" i="6" s="1"/>
  <c r="I24" i="6" s="1"/>
  <c r="J24" i="6" s="1"/>
  <c r="K24" i="6" s="1"/>
  <c r="L24" i="6" s="1"/>
  <c r="M24" i="6" s="1"/>
  <c r="N24" i="6" s="1"/>
  <c r="O24" i="6" s="1"/>
  <c r="G41" i="3"/>
  <c r="J41" i="3" s="1"/>
  <c r="F41" i="3"/>
  <c r="AB16" i="6" s="1"/>
  <c r="E41" i="3"/>
  <c r="B44" i="6" l="1"/>
  <c r="F43" i="6"/>
  <c r="G43" i="6" s="1"/>
  <c r="H43" i="6" s="1"/>
  <c r="I43" i="6" s="1"/>
  <c r="J43" i="6" s="1"/>
  <c r="K43" i="6" s="1"/>
  <c r="L43" i="6" s="1"/>
  <c r="M43" i="6" s="1"/>
  <c r="N43" i="6" s="1"/>
  <c r="O43" i="6" s="1"/>
  <c r="F25" i="6" s="1"/>
  <c r="G25" i="6" s="1"/>
  <c r="H25" i="6" s="1"/>
  <c r="I25" i="6" s="1"/>
  <c r="J25" i="6" s="1"/>
  <c r="K25" i="6" s="1"/>
  <c r="L25" i="6" s="1"/>
  <c r="M25" i="6" s="1"/>
  <c r="N25" i="6" s="1"/>
  <c r="O25" i="6" s="1"/>
  <c r="E42" i="3"/>
  <c r="F42" i="3"/>
  <c r="AC16" i="6" s="1"/>
  <c r="G42" i="3"/>
  <c r="J42" i="3" s="1"/>
  <c r="B45" i="6" l="1"/>
  <c r="F44" i="6"/>
  <c r="G44" i="6" s="1"/>
  <c r="H44" i="6" s="1"/>
  <c r="I44" i="6" s="1"/>
  <c r="J44" i="6" s="1"/>
  <c r="K44" i="6" s="1"/>
  <c r="L44" i="6" s="1"/>
  <c r="M44" i="6" s="1"/>
  <c r="N44" i="6" s="1"/>
  <c r="O44" i="6" s="1"/>
  <c r="F26" i="6" s="1"/>
  <c r="G26" i="6" s="1"/>
  <c r="H26" i="6" s="1"/>
  <c r="I26" i="6" s="1"/>
  <c r="J26" i="6" s="1"/>
  <c r="K26" i="6" s="1"/>
  <c r="L26" i="6" s="1"/>
  <c r="M26" i="6" s="1"/>
  <c r="N26" i="6" s="1"/>
  <c r="O26" i="6" s="1"/>
  <c r="F43" i="3"/>
  <c r="AD16" i="6" s="1"/>
  <c r="G43" i="3"/>
  <c r="J43" i="3" s="1"/>
  <c r="E43" i="3"/>
  <c r="B46" i="6" l="1"/>
  <c r="F45" i="6"/>
  <c r="G45" i="6" s="1"/>
  <c r="H45" i="6" s="1"/>
  <c r="I45" i="6" s="1"/>
  <c r="J45" i="6" s="1"/>
  <c r="K45" i="6" s="1"/>
  <c r="L45" i="6" s="1"/>
  <c r="M45" i="6" s="1"/>
  <c r="N45" i="6" s="1"/>
  <c r="O45" i="6" s="1"/>
  <c r="F27" i="6" s="1"/>
  <c r="G27" i="6" s="1"/>
  <c r="H27" i="6" s="1"/>
  <c r="I27" i="6" s="1"/>
  <c r="J27" i="6" s="1"/>
  <c r="K27" i="6" s="1"/>
  <c r="L27" i="6" s="1"/>
  <c r="M27" i="6" s="1"/>
  <c r="N27" i="6" s="1"/>
  <c r="O27" i="6" s="1"/>
  <c r="G38" i="3"/>
  <c r="J38" i="3" s="1"/>
  <c r="F38" i="3"/>
  <c r="AB15" i="6" s="1"/>
  <c r="E38" i="3"/>
  <c r="B47" i="6" l="1"/>
  <c r="G35" i="3"/>
  <c r="J35" i="3" s="1"/>
  <c r="F35" i="3"/>
  <c r="AB14" i="6" s="1"/>
  <c r="F39" i="3"/>
  <c r="AC15" i="6" s="1"/>
  <c r="E39" i="3"/>
  <c r="G39" i="3"/>
  <c r="J39" i="3" s="1"/>
  <c r="B48" i="6" l="1"/>
  <c r="E32" i="3"/>
  <c r="G32" i="3"/>
  <c r="J32" i="3" s="1"/>
  <c r="F32" i="3"/>
  <c r="AB13" i="6" s="1"/>
  <c r="F36" i="3"/>
  <c r="AC14" i="6" s="1"/>
  <c r="E36" i="3"/>
  <c r="G36" i="3"/>
  <c r="J36" i="3" s="1"/>
  <c r="B49" i="6" l="1"/>
  <c r="G33" i="3"/>
  <c r="J33" i="3" s="1"/>
  <c r="F33" i="3"/>
  <c r="AC13" i="6" s="1"/>
  <c r="E33" i="3"/>
  <c r="B50" i="6" l="1"/>
  <c r="B51" i="6"/>
  <c r="G34" i="3"/>
  <c r="J34" i="3" s="1"/>
  <c r="F34" i="3"/>
  <c r="AD13" i="6" s="1"/>
  <c r="E34" i="3"/>
  <c r="F29" i="3" l="1"/>
  <c r="AB12" i="6" s="1"/>
  <c r="G29" i="3"/>
  <c r="J29" i="3" s="1"/>
  <c r="E29" i="3"/>
  <c r="C12" i="6" l="1"/>
  <c r="F30" i="3"/>
  <c r="AC12" i="6" s="1"/>
  <c r="G30" i="3"/>
  <c r="J30" i="3" s="1"/>
  <c r="E30" i="3"/>
  <c r="D12" i="6" l="1"/>
  <c r="D60" i="6" s="1"/>
  <c r="C60" i="6"/>
  <c r="E31" i="3"/>
  <c r="F31" i="3"/>
  <c r="AD12" i="6" s="1"/>
  <c r="E12" i="6" s="1"/>
  <c r="E60" i="6" s="1"/>
  <c r="G31" i="3"/>
  <c r="J31" i="3" s="1"/>
  <c r="G26" i="3" l="1"/>
  <c r="J26" i="3" s="1"/>
  <c r="E26" i="3"/>
  <c r="F26" i="3"/>
  <c r="AB11" i="6" s="1"/>
  <c r="C11" i="6" s="1"/>
  <c r="C59" i="6" l="1"/>
  <c r="G27" i="3"/>
  <c r="J27" i="3" s="1"/>
  <c r="F27" i="3"/>
  <c r="AC11" i="6" s="1"/>
  <c r="D11" i="6" s="1"/>
  <c r="D59" i="6" s="1"/>
  <c r="E27" i="3"/>
  <c r="E28" i="3" l="1"/>
  <c r="F28" i="3"/>
  <c r="AD11" i="6" s="1"/>
  <c r="E11" i="6" s="1"/>
  <c r="E59" i="6" s="1"/>
  <c r="G28" i="3"/>
  <c r="J28" i="3" s="1"/>
  <c r="G23" i="3" l="1"/>
  <c r="J23" i="3" s="1"/>
  <c r="E23" i="3"/>
  <c r="F23" i="3"/>
  <c r="AB10" i="6" s="1"/>
  <c r="C10" i="6" s="1"/>
  <c r="C58" i="6" l="1"/>
  <c r="E24" i="3"/>
  <c r="F24" i="3"/>
  <c r="AC10" i="6" s="1"/>
  <c r="D10" i="6" s="1"/>
  <c r="D58" i="6" s="1"/>
  <c r="G24" i="3"/>
  <c r="J24" i="3" s="1"/>
  <c r="F25" i="3" l="1"/>
  <c r="AD10" i="6" s="1"/>
  <c r="E10" i="6" s="1"/>
  <c r="E58" i="6" s="1"/>
  <c r="E25" i="3"/>
  <c r="G25" i="3"/>
  <c r="J25" i="3" s="1"/>
  <c r="E20" i="3" l="1"/>
  <c r="F20" i="3"/>
  <c r="AB9" i="6" s="1"/>
  <c r="C9" i="6" s="1"/>
  <c r="G20" i="3"/>
  <c r="J20" i="3" s="1"/>
  <c r="C57" i="6" l="1"/>
  <c r="G21" i="3"/>
  <c r="J21" i="3" s="1"/>
  <c r="F21" i="3"/>
  <c r="AC9" i="6" s="1"/>
  <c r="D9" i="6" s="1"/>
  <c r="D57" i="6" s="1"/>
  <c r="E21" i="3"/>
  <c r="G22" i="3" l="1"/>
  <c r="J22" i="3" s="1"/>
  <c r="E22" i="3"/>
  <c r="F22" i="3"/>
  <c r="AD9" i="6" s="1"/>
  <c r="E9" i="6" s="1"/>
  <c r="E57" i="6" s="1"/>
  <c r="F17" i="3" l="1"/>
  <c r="AB8" i="6" s="1"/>
  <c r="G17" i="3"/>
  <c r="J17" i="3" s="1"/>
  <c r="E17" i="3"/>
  <c r="C8" i="6" l="1"/>
  <c r="F18" i="3"/>
  <c r="AC8" i="6" s="1"/>
  <c r="G18" i="3"/>
  <c r="J18" i="3" s="1"/>
  <c r="E18" i="3"/>
  <c r="D8" i="6" l="1"/>
  <c r="D56" i="6" s="1"/>
  <c r="C56" i="6"/>
  <c r="F19" i="3"/>
  <c r="AD8" i="6" s="1"/>
  <c r="E8" i="6" s="1"/>
  <c r="E56" i="6" s="1"/>
  <c r="E19" i="3"/>
  <c r="G19" i="3"/>
  <c r="J19" i="3" s="1"/>
  <c r="E14" i="3" l="1"/>
  <c r="F14" i="3"/>
  <c r="AB7" i="6" s="1"/>
  <c r="C7" i="6" s="1"/>
  <c r="G14" i="3"/>
  <c r="J14" i="3" s="1"/>
  <c r="C55" i="6" l="1"/>
  <c r="F15" i="3"/>
  <c r="AC7" i="6" s="1"/>
  <c r="D7" i="6" s="1"/>
  <c r="D55" i="6" s="1"/>
  <c r="G15" i="3"/>
  <c r="J15" i="3" s="1"/>
  <c r="G16" i="3" l="1"/>
  <c r="J16" i="3" s="1"/>
  <c r="E16" i="3"/>
  <c r="F16" i="3"/>
  <c r="AD7" i="6" s="1"/>
  <c r="E7" i="6" s="1"/>
  <c r="E55" i="6" s="1"/>
  <c r="G11" i="3" l="1"/>
  <c r="J11" i="3" s="1"/>
  <c r="E11" i="3"/>
  <c r="F11" i="3"/>
  <c r="AB6" i="6" s="1"/>
  <c r="C6" i="6" s="1"/>
  <c r="C54" i="6" l="1"/>
  <c r="F12" i="3"/>
  <c r="AC6" i="6" s="1"/>
  <c r="D6" i="6" s="1"/>
  <c r="D54" i="6" s="1"/>
  <c r="G12" i="3"/>
  <c r="J12" i="3" s="1"/>
  <c r="E12" i="3"/>
  <c r="G13" i="3" l="1"/>
  <c r="J13" i="3" s="1"/>
  <c r="F13" i="3"/>
  <c r="AD6" i="6" s="1"/>
  <c r="E6" i="6" s="1"/>
  <c r="E54" i="6" s="1"/>
  <c r="E13" i="3"/>
  <c r="G8" i="3" l="1"/>
  <c r="J8" i="3" s="1"/>
  <c r="F8" i="3"/>
  <c r="AB5" i="6" s="1"/>
  <c r="C5" i="6" s="1"/>
  <c r="E8" i="3"/>
  <c r="C53" i="6" l="1"/>
  <c r="G9" i="3"/>
  <c r="J9" i="3" s="1"/>
  <c r="E9" i="3"/>
  <c r="F9" i="3"/>
  <c r="AC5" i="6" s="1"/>
  <c r="D5" i="6" s="1"/>
  <c r="D53" i="6" s="1"/>
  <c r="G10" i="3" l="1"/>
  <c r="J10" i="3" s="1"/>
  <c r="E10" i="3"/>
  <c r="F10" i="3"/>
  <c r="AD5" i="6" s="1"/>
  <c r="E5" i="6" s="1"/>
  <c r="E53" i="6" s="1"/>
  <c r="G5" i="3" l="1"/>
  <c r="J5" i="3" s="1"/>
  <c r="E5" i="3"/>
  <c r="F5" i="3"/>
  <c r="AB4" i="6" s="1"/>
  <c r="C4" i="6" s="1"/>
  <c r="C52" i="6" l="1"/>
  <c r="B4" i="6"/>
  <c r="F6" i="3"/>
  <c r="AC4" i="6" s="1"/>
  <c r="D4" i="6" s="1"/>
  <c r="D52" i="6" s="1"/>
  <c r="E6" i="3"/>
  <c r="G6" i="3"/>
  <c r="J6" i="3" s="1"/>
  <c r="B52" i="6" l="1"/>
  <c r="F4" i="6"/>
  <c r="G4" i="6" s="1"/>
  <c r="H4" i="6" s="1"/>
  <c r="I4" i="6" s="1"/>
  <c r="J4" i="6" s="1"/>
  <c r="K4" i="6" s="1"/>
  <c r="L4" i="6" s="1"/>
  <c r="M4" i="6" s="1"/>
  <c r="N4" i="6" s="1"/>
  <c r="O4" i="6" s="1"/>
  <c r="B5" i="6"/>
  <c r="F7" i="3"/>
  <c r="AD4" i="6" s="1"/>
  <c r="E4" i="6" s="1"/>
  <c r="E52" i="6" s="1"/>
  <c r="E7" i="3"/>
  <c r="G7" i="3"/>
  <c r="J7" i="3" s="1"/>
  <c r="B53" i="6" l="1"/>
  <c r="F5" i="6"/>
  <c r="G5" i="6" s="1"/>
  <c r="H5" i="6" s="1"/>
  <c r="I5" i="6" s="1"/>
  <c r="J5" i="6" s="1"/>
  <c r="K5" i="6" s="1"/>
  <c r="L5" i="6" s="1"/>
  <c r="M5" i="6" s="1"/>
  <c r="N5" i="6" s="1"/>
  <c r="O5" i="6" s="1"/>
  <c r="B6" i="6"/>
  <c r="F52" i="6"/>
  <c r="G52" i="6" s="1"/>
  <c r="H52" i="6" s="1"/>
  <c r="I52" i="6" s="1"/>
  <c r="J52" i="6" s="1"/>
  <c r="K52" i="6" s="1"/>
  <c r="L52" i="6" s="1"/>
  <c r="M52" i="6" s="1"/>
  <c r="N52" i="6" s="1"/>
  <c r="O52" i="6" s="1"/>
  <c r="B54" i="6" l="1"/>
  <c r="F6" i="6"/>
  <c r="G6" i="6" s="1"/>
  <c r="H6" i="6" s="1"/>
  <c r="I6" i="6" s="1"/>
  <c r="J6" i="6" s="1"/>
  <c r="K6" i="6" s="1"/>
  <c r="L6" i="6" s="1"/>
  <c r="M6" i="6" s="1"/>
  <c r="N6" i="6" s="1"/>
  <c r="O6" i="6" s="1"/>
  <c r="B7" i="6"/>
  <c r="F53" i="6"/>
  <c r="G53" i="6" s="1"/>
  <c r="H53" i="6" s="1"/>
  <c r="I53" i="6" s="1"/>
  <c r="J53" i="6" s="1"/>
  <c r="K53" i="6" s="1"/>
  <c r="L53" i="6" s="1"/>
  <c r="M53" i="6" s="1"/>
  <c r="N53" i="6" s="1"/>
  <c r="O53" i="6" s="1"/>
  <c r="F54" i="6" l="1"/>
  <c r="G54" i="6" s="1"/>
  <c r="H54" i="6" s="1"/>
  <c r="I54" i="6" s="1"/>
  <c r="J54" i="6" s="1"/>
  <c r="K54" i="6" s="1"/>
  <c r="L54" i="6" s="1"/>
  <c r="M54" i="6" s="1"/>
  <c r="N54" i="6" s="1"/>
  <c r="O54" i="6" s="1"/>
  <c r="F7" i="6"/>
  <c r="G7" i="6" s="1"/>
  <c r="H7" i="6" s="1"/>
  <c r="I7" i="6" s="1"/>
  <c r="J7" i="6" s="1"/>
  <c r="K7" i="6" s="1"/>
  <c r="L7" i="6" s="1"/>
  <c r="M7" i="6" s="1"/>
  <c r="N7" i="6" s="1"/>
  <c r="O7" i="6" s="1"/>
  <c r="B55" i="6"/>
  <c r="B8" i="6"/>
  <c r="F8" i="6" l="1"/>
  <c r="G8" i="6" s="1"/>
  <c r="H8" i="6" s="1"/>
  <c r="I8" i="6" s="1"/>
  <c r="J8" i="6" s="1"/>
  <c r="K8" i="6" s="1"/>
  <c r="L8" i="6" s="1"/>
  <c r="M8" i="6" s="1"/>
  <c r="N8" i="6" s="1"/>
  <c r="O8" i="6" s="1"/>
  <c r="B56" i="6"/>
  <c r="B9" i="6"/>
  <c r="F55" i="6"/>
  <c r="G55" i="6" s="1"/>
  <c r="H55" i="6" s="1"/>
  <c r="I55" i="6" s="1"/>
  <c r="J55" i="6" s="1"/>
  <c r="K55" i="6" s="1"/>
  <c r="L55" i="6" s="1"/>
  <c r="M55" i="6" s="1"/>
  <c r="N55" i="6" s="1"/>
  <c r="O55" i="6" s="1"/>
  <c r="B57" i="6" l="1"/>
  <c r="F9" i="6"/>
  <c r="G9" i="6" s="1"/>
  <c r="H9" i="6" s="1"/>
  <c r="I9" i="6" s="1"/>
  <c r="J9" i="6" s="1"/>
  <c r="K9" i="6" s="1"/>
  <c r="L9" i="6" s="1"/>
  <c r="M9" i="6" s="1"/>
  <c r="N9" i="6" s="1"/>
  <c r="O9" i="6" s="1"/>
  <c r="B10" i="6"/>
  <c r="F56" i="6"/>
  <c r="G56" i="6" s="1"/>
  <c r="H56" i="6" s="1"/>
  <c r="I56" i="6" s="1"/>
  <c r="J56" i="6" s="1"/>
  <c r="K56" i="6" s="1"/>
  <c r="L56" i="6" s="1"/>
  <c r="M56" i="6" s="1"/>
  <c r="N56" i="6" s="1"/>
  <c r="O56" i="6" s="1"/>
  <c r="F10" i="6" l="1"/>
  <c r="G10" i="6" s="1"/>
  <c r="H10" i="6" s="1"/>
  <c r="I10" i="6" s="1"/>
  <c r="J10" i="6" s="1"/>
  <c r="K10" i="6" s="1"/>
  <c r="L10" i="6" s="1"/>
  <c r="M10" i="6" s="1"/>
  <c r="N10" i="6" s="1"/>
  <c r="O10" i="6" s="1"/>
  <c r="B58" i="6"/>
  <c r="B11" i="6"/>
  <c r="F57" i="6"/>
  <c r="G57" i="6" s="1"/>
  <c r="H57" i="6" s="1"/>
  <c r="I57" i="6" s="1"/>
  <c r="J57" i="6" s="1"/>
  <c r="K57" i="6" s="1"/>
  <c r="L57" i="6" s="1"/>
  <c r="M57" i="6" s="1"/>
  <c r="N57" i="6" s="1"/>
  <c r="O57" i="6" s="1"/>
  <c r="B59" i="6" l="1"/>
  <c r="F11" i="6"/>
  <c r="G11" i="6" s="1"/>
  <c r="H11" i="6" s="1"/>
  <c r="I11" i="6" s="1"/>
  <c r="J11" i="6" s="1"/>
  <c r="K11" i="6" s="1"/>
  <c r="L11" i="6" s="1"/>
  <c r="M11" i="6" s="1"/>
  <c r="N11" i="6" s="1"/>
  <c r="O11" i="6" s="1"/>
  <c r="B12" i="6"/>
  <c r="F58" i="6"/>
  <c r="G58" i="6" s="1"/>
  <c r="H58" i="6" s="1"/>
  <c r="I58" i="6" s="1"/>
  <c r="J58" i="6" s="1"/>
  <c r="K58" i="6" s="1"/>
  <c r="L58" i="6" s="1"/>
  <c r="M58" i="6" s="1"/>
  <c r="N58" i="6" s="1"/>
  <c r="O58" i="6" s="1"/>
  <c r="B60" i="6" l="1"/>
  <c r="F12" i="6"/>
  <c r="G12" i="6" s="1"/>
  <c r="H12" i="6" s="1"/>
  <c r="I12" i="6" s="1"/>
  <c r="J12" i="6" s="1"/>
  <c r="K12" i="6" s="1"/>
  <c r="L12" i="6" s="1"/>
  <c r="M12" i="6" s="1"/>
  <c r="N12" i="6" s="1"/>
  <c r="O12" i="6" s="1"/>
  <c r="F59" i="6"/>
  <c r="G59" i="6" s="1"/>
  <c r="H59" i="6" s="1"/>
  <c r="I59" i="6" s="1"/>
  <c r="J59" i="6" s="1"/>
  <c r="K59" i="6" s="1"/>
  <c r="L59" i="6" s="1"/>
  <c r="M59" i="6" s="1"/>
  <c r="N59" i="6" s="1"/>
  <c r="O59" i="6" s="1"/>
  <c r="F60" i="6" l="1"/>
  <c r="G60" i="6" s="1"/>
  <c r="H60" i="6" s="1"/>
  <c r="I60" i="6" s="1"/>
  <c r="J60" i="6" s="1"/>
  <c r="K60" i="6" s="1"/>
  <c r="L60" i="6" s="1"/>
  <c r="M60" i="6" s="1"/>
  <c r="N60" i="6" s="1"/>
  <c r="O60" i="6" s="1"/>
</calcChain>
</file>

<file path=xl/sharedStrings.xml><?xml version="1.0" encoding="utf-8"?>
<sst xmlns="http://schemas.openxmlformats.org/spreadsheetml/2006/main" count="302" uniqueCount="149">
  <si>
    <t>～請於開球前10分鐘向出發梯台報到 Please sign in at the starter 10 minutes prior to the tee-off time.  Thank you!!～</t>
  </si>
  <si>
    <t>地點：揚昇高爾夫鄉村俱樂部 Sunrise Golf &amp; Country Club</t>
    <phoneticPr fontId="3" type="noConversion"/>
  </si>
  <si>
    <t>OUT   (NO.  1   TEE)</t>
    <phoneticPr fontId="9" type="noConversion"/>
  </si>
  <si>
    <t>IN   (NO.  10   TEE)</t>
    <phoneticPr fontId="3" type="noConversion"/>
  </si>
  <si>
    <t>MEN'S</t>
    <phoneticPr fontId="9" type="noConversion"/>
  </si>
  <si>
    <t>第一回合出發時間編組表 /  DRAW &amp; TEE-OFF  - FIRST ROUND</t>
    <phoneticPr fontId="3" type="noConversion"/>
  </si>
  <si>
    <t>序</t>
    <phoneticPr fontId="2" type="noConversion"/>
  </si>
  <si>
    <t>名字</t>
    <phoneticPr fontId="2" type="noConversion"/>
  </si>
  <si>
    <t>國家</t>
    <phoneticPr fontId="2" type="noConversion"/>
  </si>
  <si>
    <t>R1成績</t>
    <phoneticPr fontId="2" type="noConversion"/>
  </si>
  <si>
    <t>R2成績</t>
    <phoneticPr fontId="2" type="noConversion"/>
  </si>
  <si>
    <t>R3成績</t>
  </si>
  <si>
    <t>R4成績</t>
  </si>
  <si>
    <t>合計</t>
    <phoneticPr fontId="2" type="noConversion"/>
  </si>
  <si>
    <t>名次</t>
    <phoneticPr fontId="2" type="noConversion"/>
  </si>
  <si>
    <t>MEN'S</t>
  </si>
  <si>
    <t>第二回合出發時間編組表 /  DRAW &amp; TEE-OFF  - SECOND ROUND</t>
    <phoneticPr fontId="3" type="noConversion"/>
  </si>
  <si>
    <t>LADIES'</t>
    <phoneticPr fontId="2" type="noConversion"/>
  </si>
  <si>
    <t>MEN'S</t>
    <phoneticPr fontId="9" type="noConversion"/>
  </si>
  <si>
    <t>NO.  1</t>
    <phoneticPr fontId="9" type="noConversion"/>
  </si>
  <si>
    <t>NO.  10</t>
    <phoneticPr fontId="3" type="noConversion"/>
  </si>
  <si>
    <t>第三回合出發時間編組表 /  DRAW SHEET  -   THIRD ROUND</t>
    <phoneticPr fontId="3" type="noConversion"/>
  </si>
  <si>
    <t>第四回合出發時間編組表 /  DRAW SHEET  -   FOURTH ROUND</t>
    <phoneticPr fontId="3" type="noConversion"/>
  </si>
  <si>
    <t>NO.  1</t>
    <phoneticPr fontId="9" type="noConversion"/>
  </si>
  <si>
    <t>NO.  10</t>
    <phoneticPr fontId="3" type="noConversion"/>
  </si>
  <si>
    <t>ROC</t>
  </si>
  <si>
    <t>Hsiu-Chi Chang 張修齊</t>
  </si>
  <si>
    <t>Yi-Tong Chen 陳裔東</t>
  </si>
  <si>
    <t>Han-Wei Chiu 邱瀚緯</t>
  </si>
  <si>
    <t>Wei-Cheng Shen 沈威成</t>
  </si>
  <si>
    <t>Yu-Cheng Ho 何祐誠</t>
  </si>
  <si>
    <t>Che-Hung Tsai 蔡哲弘</t>
  </si>
  <si>
    <t>Yung-Hua Liu 劉永華</t>
  </si>
  <si>
    <t>Wei-Fan Liu 劉威汎</t>
  </si>
  <si>
    <t>MAS</t>
  </si>
  <si>
    <t>PHI</t>
  </si>
  <si>
    <t>Marc Ong</t>
  </si>
  <si>
    <t>SIN</t>
  </si>
  <si>
    <t>Gregory Foo</t>
  </si>
  <si>
    <t>Leon Philip D’Souza</t>
  </si>
  <si>
    <t>Jack Tsai 蔡政宏</t>
  </si>
  <si>
    <t>Li-Hsin Chung 鍾力新</t>
  </si>
  <si>
    <t>Ting-Chia Chang 張庭嘉</t>
  </si>
  <si>
    <t>Yi-Han Wang 王薏涵</t>
  </si>
  <si>
    <t>Yu-Ping Huang 黃郁評</t>
  </si>
  <si>
    <t>Hsin-En Tsai 蔡欣恩</t>
  </si>
  <si>
    <t>Hsiao-Han Huang 黃筱涵</t>
  </si>
  <si>
    <t>Kuan-Yu Lin 林冠妤</t>
  </si>
  <si>
    <t>LADIES'</t>
  </si>
  <si>
    <t>Hole</t>
    <phoneticPr fontId="3" type="noConversion"/>
  </si>
  <si>
    <t>Par</t>
    <phoneticPr fontId="3" type="noConversion"/>
  </si>
  <si>
    <t>Out開球</t>
    <phoneticPr fontId="3" type="noConversion"/>
  </si>
  <si>
    <t>In開球</t>
    <phoneticPr fontId="3" type="noConversion"/>
  </si>
  <si>
    <t>揚昇高爾夫鄉村俱樂部</t>
    <phoneticPr fontId="2" type="noConversion"/>
  </si>
  <si>
    <t>HKG</t>
  </si>
  <si>
    <r>
      <rPr>
        <sz val="14"/>
        <color indexed="8"/>
        <rFont val="細明體"/>
        <family val="3"/>
        <charset val="136"/>
      </rPr>
      <t>　　</t>
    </r>
    <r>
      <rPr>
        <sz val="14"/>
        <color indexed="8"/>
        <rFont val="Times New Roman"/>
        <family val="1"/>
      </rPr>
      <t>2015</t>
    </r>
    <r>
      <rPr>
        <sz val="14"/>
        <color indexed="8"/>
        <rFont val="細明體"/>
        <family val="3"/>
        <charset val="136"/>
      </rPr>
      <t>年台灣業餘高爾夫錦標賽</t>
    </r>
    <r>
      <rPr>
        <sz val="14"/>
        <color indexed="8"/>
        <rFont val="Times New Roman"/>
        <family val="1"/>
      </rPr>
      <t xml:space="preserve"> /2015 TAIWAN  AMATEUR GOLF CHAMPIONSHIP  </t>
    </r>
    <phoneticPr fontId="3" type="noConversion"/>
  </si>
  <si>
    <t>2015年06月23日(星期二) Jun. 23, 2014 (TUE.)</t>
    <phoneticPr fontId="3" type="noConversion"/>
  </si>
  <si>
    <t>2015年06月24日(星期三) Jun. 24, 2015 (Wed.)</t>
    <phoneticPr fontId="3" type="noConversion"/>
  </si>
  <si>
    <t>2015年06月26日(星期五) Jun. 26, 2015 (Fri.)</t>
    <phoneticPr fontId="3" type="noConversion"/>
  </si>
  <si>
    <t>Yu-Chia Chiu 邱昱嘉</t>
  </si>
  <si>
    <t>Terrence Ng</t>
  </si>
  <si>
    <t>Xun-Mao Sun 孫薰懋</t>
  </si>
  <si>
    <t>Chung-Ting Liao 廖崇廷</t>
  </si>
  <si>
    <t>Tiger Lee</t>
  </si>
  <si>
    <t>Kai Chen  陳　凱</t>
  </si>
  <si>
    <t>Steven Lam</t>
  </si>
  <si>
    <t>Shun-Chen Chang 張勛宸</t>
  </si>
  <si>
    <t>Pei-Fwu Chen</t>
  </si>
  <si>
    <t>Yu-Chen Chen 陳宥蓁</t>
  </si>
  <si>
    <t xml:space="preserve">Kaito Kitazoe </t>
  </si>
  <si>
    <t>JPN</t>
  </si>
  <si>
    <t>Koshi Fukuta</t>
  </si>
  <si>
    <t>William Lin 林為超</t>
  </si>
  <si>
    <t xml:space="preserve">Aman Raj </t>
  </si>
  <si>
    <t>IND</t>
  </si>
  <si>
    <t>Yi-Tseng Huang  黃議增</t>
  </si>
  <si>
    <t>Matthew Cheung</t>
  </si>
  <si>
    <t>Viraaj Madappa</t>
  </si>
  <si>
    <t>Jan Philip de Claro</t>
  </si>
  <si>
    <t>Lloyd Jefferson Go</t>
  </si>
  <si>
    <t>Yun-Jui Liao 廖云瑞</t>
  </si>
  <si>
    <t>Sangchai Kaewcharoen</t>
  </si>
  <si>
    <t>THA</t>
  </si>
  <si>
    <t>Sun-Yi Lu 呂孫儀</t>
  </si>
  <si>
    <t>Sadom Kaewkanjana</t>
  </si>
  <si>
    <t>Han-Ting Chiu 邱瀚霆</t>
  </si>
  <si>
    <t>Meng-Heng Lu 呂孟恆</t>
  </si>
  <si>
    <t>Zi-Jun Huang 黃子鈞</t>
  </si>
  <si>
    <t>Chung-Chieh Yang 楊浚頡</t>
  </si>
  <si>
    <t>Yu-Cong Jhang 張育琮</t>
  </si>
  <si>
    <t>Mako‏ Shapiyate  沙比亞特馬克</t>
  </si>
  <si>
    <t>Chin-Hung He 何勁宏</t>
  </si>
  <si>
    <t>Chia-Wei Yu 游家瑋</t>
  </si>
  <si>
    <t>Yu-Chiao Chang 張育僑</t>
  </si>
  <si>
    <t>Jui-Lung Wu Mark 吳瑞隆</t>
  </si>
  <si>
    <t>Shih-Chuan Tsou 鄒世權</t>
  </si>
  <si>
    <t>Wei-Yi Liu  劉威毅</t>
  </si>
  <si>
    <t>Cheng-En Cheng 鄭丞恩</t>
  </si>
  <si>
    <t>Yen-Cheng Lai 賴彥丞</t>
  </si>
  <si>
    <t>Yu-Kai Yeh 葉宇愷</t>
  </si>
  <si>
    <t>Chi-Wen Young 楊棋文</t>
  </si>
  <si>
    <t>Ching-Tzu Chen 陳靜慈</t>
  </si>
  <si>
    <t xml:space="preserve">Song Yi Lin </t>
  </si>
  <si>
    <t>CHN</t>
  </si>
  <si>
    <t>Mimi Ho</t>
  </si>
  <si>
    <t>Kristine Torralba</t>
  </si>
  <si>
    <t>Ke-Ai Liu 劉可艾</t>
  </si>
  <si>
    <t>Isabella Leung</t>
  </si>
  <si>
    <t>Lorenz Kayla Nocum</t>
  </si>
  <si>
    <t>Tsai-Ching Tseng 曾彩晴</t>
  </si>
  <si>
    <t>Pimnipa Panthong</t>
  </si>
  <si>
    <t>Jo-Hua Hung 洪若華</t>
  </si>
  <si>
    <t>Suthavee Chanachai</t>
  </si>
  <si>
    <t>Jie-En Lin  林婕恩</t>
  </si>
  <si>
    <t>Chan Tuck Soon</t>
  </si>
  <si>
    <t>Alvin Hiew</t>
  </si>
  <si>
    <t>Winnie Ng Yu Xuan</t>
  </si>
  <si>
    <t>Ashley Lau Jen Wen</t>
    <phoneticPr fontId="2" type="noConversion"/>
  </si>
  <si>
    <t>2015年06月25日(星期四) Jun. 25, 2015 (Thu.)</t>
    <phoneticPr fontId="3" type="noConversion"/>
  </si>
  <si>
    <t>Han-Ting Chiu     邱瀚霆</t>
  </si>
  <si>
    <t>Sun-Yi Lu     呂孫儀</t>
  </si>
  <si>
    <t>Che-Hung Tsai     蔡哲弘</t>
  </si>
  <si>
    <t>Wei-Cheng Shen     沈威成</t>
  </si>
  <si>
    <t>Chung-Chieh Yang     楊浚頡</t>
  </si>
  <si>
    <t>Shun-Chen Chang     張勛宸</t>
  </si>
  <si>
    <t>Chung-Ting Liao     廖崇廷</t>
  </si>
  <si>
    <t>Yun-Jui Liao     廖云瑞</t>
  </si>
  <si>
    <t>Ting-Chia Chang     張庭嘉</t>
  </si>
  <si>
    <t>Yu-Chen Chen     陳宥蓁</t>
  </si>
  <si>
    <t>Yi-Tong Chen     陳裔東</t>
  </si>
  <si>
    <t>Zi-Jun Huang     黃子鈞</t>
  </si>
  <si>
    <t>Jack Tsai     蔡政宏</t>
  </si>
  <si>
    <t>Yung-Hua Liu     劉永華</t>
  </si>
  <si>
    <t>Yu-Cheng Ho     何祐誠</t>
  </si>
  <si>
    <t>Yu-Chiao Chang     張育僑</t>
  </si>
  <si>
    <t>Wei-Fan Liu     劉威汎</t>
  </si>
  <si>
    <t>Yi-Tseng Huang      黃議增</t>
  </si>
  <si>
    <t>Li-Hsin Chung     鍾力新</t>
  </si>
  <si>
    <t>Hsiu-Chi Chang     張修齊</t>
  </si>
  <si>
    <t>Jo-Hua Hung     洪若華</t>
  </si>
  <si>
    <t>Jie-En Lin      林婕恩</t>
  </si>
  <si>
    <t>Ching-Tzu Chen     陳靜慈</t>
  </si>
  <si>
    <t>Hsin-En Tsai     蔡欣恩</t>
  </si>
  <si>
    <t>Yi-Han Wang     王薏涵</t>
  </si>
  <si>
    <t>Kuan-Yu Lin     林冠妤</t>
  </si>
  <si>
    <t>Ashley Lau Jen Wen</t>
  </si>
  <si>
    <t>Yu-Ping Huang     黃郁評</t>
  </si>
  <si>
    <t>Hsiao-Han Huang     黃筱涵</t>
  </si>
  <si>
    <t>Han-Wei Chiu     邱瀚緯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</si>
</sst>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;;;@"/>
    <numFmt numFmtId="177" formatCode="0;;;"/>
    <numFmt numFmtId="178" formatCode="0&quot; 分鐘&quot;"/>
    <numFmt numFmtId="179" formatCode="&quot;Round  &quot;0"/>
    <numFmt numFmtId="180" formatCode="yyyy/mm/dd"/>
    <numFmt numFmtId="181" formatCode="&quot;Start #&quot;0"/>
    <numFmt numFmtId="182" formatCode="h:mm"/>
  </numFmts>
  <fonts count="26" x14ac:knownFonts="1">
    <font>
      <sz val="12"/>
      <color theme="1"/>
      <name val="新細明體"/>
      <family val="2"/>
      <charset val="136"/>
      <scheme val="minor"/>
    </font>
    <font>
      <sz val="14"/>
      <color indexed="8"/>
      <name val="Times New Roman"/>
      <family val="1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8"/>
      <color indexed="8"/>
      <name val="Times New Roman"/>
      <family val="1"/>
    </font>
    <font>
      <sz val="9"/>
      <name val="細明體"/>
      <family val="3"/>
      <charset val="136"/>
    </font>
    <font>
      <sz val="12"/>
      <color indexed="8"/>
      <name val="Times New Roman"/>
      <family val="1"/>
    </font>
    <font>
      <b/>
      <sz val="12"/>
      <color indexed="8"/>
      <name val="新細明體"/>
      <family val="1"/>
      <charset val="136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14"/>
      <color indexed="8"/>
      <name val="細明體"/>
      <family val="3"/>
      <charset val="136"/>
    </font>
    <font>
      <sz val="10"/>
      <name val="Times New Roman"/>
      <family val="1"/>
    </font>
    <font>
      <sz val="12"/>
      <name val="標楷體"/>
      <family val="4"/>
      <charset val="136"/>
    </font>
    <font>
      <sz val="12"/>
      <color theme="1"/>
      <name val="Times New Roman"/>
      <family val="1"/>
    </font>
    <font>
      <sz val="10.5"/>
      <color indexed="8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name val="Arial Unicode MS"/>
      <family val="2"/>
      <charset val="136"/>
    </font>
    <font>
      <sz val="12"/>
      <color theme="1"/>
      <name val="Arial Unicode MS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FF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quotePrefix="1" applyFont="1" applyAlignment="1">
      <alignment vertical="center"/>
    </xf>
    <xf numFmtId="0" fontId="7" fillId="0" borderId="0" xfId="0" applyFont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20" fontId="7" fillId="0" borderId="3" xfId="0" applyNumberFormat="1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 wrapText="1"/>
    </xf>
    <xf numFmtId="177" fontId="12" fillId="0" borderId="3" xfId="0" applyNumberFormat="1" applyFont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177" fontId="12" fillId="0" borderId="4" xfId="0" applyNumberFormat="1" applyFont="1" applyFill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center" vertical="center" wrapText="1"/>
    </xf>
    <xf numFmtId="177" fontId="12" fillId="0" borderId="7" xfId="0" applyNumberFormat="1" applyFont="1" applyBorder="1" applyAlignment="1">
      <alignment horizontal="center" vertical="center"/>
    </xf>
    <xf numFmtId="177" fontId="12" fillId="0" borderId="7" xfId="0" applyNumberFormat="1" applyFont="1" applyFill="1" applyBorder="1" applyAlignment="1">
      <alignment horizontal="center" vertical="center"/>
    </xf>
    <xf numFmtId="177" fontId="12" fillId="0" borderId="9" xfId="0" applyNumberFormat="1" applyFont="1" applyFill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76" fontId="14" fillId="0" borderId="11" xfId="0" applyNumberFormat="1" applyFont="1" applyBorder="1" applyAlignment="1">
      <alignment horizontal="center" vertical="center" wrapText="1"/>
    </xf>
    <xf numFmtId="177" fontId="12" fillId="0" borderId="11" xfId="0" applyNumberFormat="1" applyFont="1" applyBorder="1" applyAlignment="1">
      <alignment horizontal="center" vertical="center"/>
    </xf>
    <xf numFmtId="177" fontId="12" fillId="0" borderId="11" xfId="0" applyNumberFormat="1" applyFont="1" applyFill="1" applyBorder="1" applyAlignment="1">
      <alignment horizontal="center" vertical="center"/>
    </xf>
    <xf numFmtId="177" fontId="12" fillId="0" borderId="13" xfId="0" applyNumberFormat="1" applyFont="1" applyFill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 wrapText="1"/>
    </xf>
    <xf numFmtId="20" fontId="7" fillId="0" borderId="15" xfId="0" applyNumberFormat="1" applyFont="1" applyBorder="1" applyAlignment="1">
      <alignment horizontal="center" vertical="center" wrapText="1"/>
    </xf>
    <xf numFmtId="1" fontId="12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6" fontId="14" fillId="0" borderId="15" xfId="0" applyNumberFormat="1" applyFont="1" applyBorder="1" applyAlignment="1">
      <alignment horizontal="center" vertical="center" wrapText="1"/>
    </xf>
    <xf numFmtId="177" fontId="12" fillId="0" borderId="15" xfId="0" applyNumberFormat="1" applyFont="1" applyBorder="1" applyAlignment="1">
      <alignment horizontal="center" vertical="center"/>
    </xf>
    <xf numFmtId="177" fontId="12" fillId="0" borderId="15" xfId="0" applyNumberFormat="1" applyFont="1" applyFill="1" applyBorder="1" applyAlignment="1">
      <alignment horizontal="center" vertical="center"/>
    </xf>
    <xf numFmtId="177" fontId="12" fillId="0" borderId="17" xfId="0" applyNumberFormat="1" applyFont="1" applyFill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textRotation="255"/>
    </xf>
    <xf numFmtId="1" fontId="12" fillId="0" borderId="4" xfId="0" applyNumberFormat="1" applyFont="1" applyBorder="1" applyAlignment="1">
      <alignment horizontal="center" vertical="center"/>
    </xf>
    <xf numFmtId="1" fontId="7" fillId="0" borderId="21" xfId="0" applyNumberFormat="1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/>
    </xf>
    <xf numFmtId="1" fontId="7" fillId="0" borderId="22" xfId="0" applyNumberFormat="1" applyFont="1" applyBorder="1" applyAlignment="1">
      <alignment horizontal="center" vertical="center" wrapText="1"/>
    </xf>
    <xf numFmtId="1" fontId="12" fillId="0" borderId="13" xfId="0" applyNumberFormat="1" applyFont="1" applyBorder="1" applyAlignment="1">
      <alignment horizontal="center" vertical="center"/>
    </xf>
    <xf numFmtId="1" fontId="12" fillId="0" borderId="17" xfId="0" applyNumberFormat="1" applyFont="1" applyBorder="1" applyAlignment="1">
      <alignment horizontal="center" vertical="center"/>
    </xf>
    <xf numFmtId="1" fontId="7" fillId="0" borderId="24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1" fontId="12" fillId="0" borderId="2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2" fillId="0" borderId="0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vertical="center" textRotation="255"/>
    </xf>
    <xf numFmtId="176" fontId="13" fillId="0" borderId="3" xfId="0" applyNumberFormat="1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176" fontId="13" fillId="0" borderId="8" xfId="0" applyNumberFormat="1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7" xfId="0" applyNumberFormat="1" applyFont="1" applyFill="1" applyBorder="1" applyAlignment="1">
      <alignment horizontal="center" vertical="center"/>
    </xf>
    <xf numFmtId="176" fontId="12" fillId="0" borderId="9" xfId="0" applyNumberFormat="1" applyFont="1" applyFill="1" applyBorder="1" applyAlignment="1">
      <alignment horizontal="center" vertical="center"/>
    </xf>
    <xf numFmtId="176" fontId="13" fillId="0" borderId="12" xfId="0" applyNumberFormat="1" applyFont="1" applyBorder="1" applyAlignment="1">
      <alignment horizontal="center" vertical="center"/>
    </xf>
    <xf numFmtId="176" fontId="12" fillId="0" borderId="11" xfId="0" applyNumberFormat="1" applyFont="1" applyBorder="1" applyAlignment="1">
      <alignment horizontal="center" vertical="center"/>
    </xf>
    <xf numFmtId="176" fontId="12" fillId="0" borderId="11" xfId="0" applyNumberFormat="1" applyFont="1" applyFill="1" applyBorder="1" applyAlignment="1">
      <alignment horizontal="center" vertical="center"/>
    </xf>
    <xf numFmtId="176" fontId="12" fillId="0" borderId="13" xfId="0" applyNumberFormat="1" applyFont="1" applyFill="1" applyBorder="1" applyAlignment="1">
      <alignment horizontal="center" vertical="center"/>
    </xf>
    <xf numFmtId="176" fontId="13" fillId="0" borderId="16" xfId="0" applyNumberFormat="1" applyFont="1" applyBorder="1" applyAlignment="1">
      <alignment horizontal="center" vertical="center"/>
    </xf>
    <xf numFmtId="176" fontId="12" fillId="0" borderId="15" xfId="0" applyNumberFormat="1" applyFont="1" applyBorder="1" applyAlignment="1">
      <alignment horizontal="center" vertical="center"/>
    </xf>
    <xf numFmtId="176" fontId="12" fillId="0" borderId="15" xfId="0" applyNumberFormat="1" applyFont="1" applyFill="1" applyBorder="1" applyAlignment="1">
      <alignment horizontal="center" vertical="center"/>
    </xf>
    <xf numFmtId="176" fontId="12" fillId="0" borderId="17" xfId="0" applyNumberFormat="1" applyFont="1" applyFill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28" xfId="0" applyBorder="1">
      <alignment vertical="center"/>
    </xf>
    <xf numFmtId="0" fontId="0" fillId="0" borderId="19" xfId="0" applyBorder="1">
      <alignment vertical="center"/>
    </xf>
    <xf numFmtId="1" fontId="12" fillId="0" borderId="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7" fontId="7" fillId="0" borderId="20" xfId="0" applyNumberFormat="1" applyFont="1" applyBorder="1" applyAlignment="1">
      <alignment horizontal="center" vertical="center" wrapText="1"/>
    </xf>
    <xf numFmtId="177" fontId="7" fillId="0" borderId="23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177" fontId="7" fillId="0" borderId="10" xfId="0" applyNumberFormat="1" applyFont="1" applyBorder="1" applyAlignment="1">
      <alignment horizontal="center" vertical="center" wrapText="1"/>
    </xf>
    <xf numFmtId="177" fontId="7" fillId="0" borderId="14" xfId="0" applyNumberFormat="1" applyFont="1" applyBorder="1" applyAlignment="1">
      <alignment horizontal="center" vertical="center" wrapText="1"/>
    </xf>
    <xf numFmtId="177" fontId="13" fillId="0" borderId="3" xfId="0" applyNumberFormat="1" applyFont="1" applyBorder="1" applyAlignment="1">
      <alignment horizontal="center" vertical="center"/>
    </xf>
    <xf numFmtId="177" fontId="13" fillId="0" borderId="8" xfId="0" applyNumberFormat="1" applyFont="1" applyBorder="1" applyAlignment="1">
      <alignment horizontal="center" vertical="center"/>
    </xf>
    <xf numFmtId="177" fontId="13" fillId="0" borderId="12" xfId="0" applyNumberFormat="1" applyFont="1" applyBorder="1" applyAlignment="1">
      <alignment horizontal="center" vertical="center"/>
    </xf>
    <xf numFmtId="177" fontId="13" fillId="0" borderId="16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6" fontId="14" fillId="0" borderId="29" xfId="0" applyNumberFormat="1" applyFont="1" applyBorder="1" applyAlignment="1">
      <alignment horizontal="center" vertical="center" wrapText="1"/>
    </xf>
    <xf numFmtId="1" fontId="12" fillId="0" borderId="25" xfId="0" applyNumberFormat="1" applyFont="1" applyBorder="1" applyAlignment="1">
      <alignment horizontal="center" vertical="center"/>
    </xf>
    <xf numFmtId="176" fontId="14" fillId="0" borderId="25" xfId="0" applyNumberFormat="1" applyFont="1" applyBorder="1" applyAlignment="1">
      <alignment horizontal="center" vertical="center" wrapText="1"/>
    </xf>
    <xf numFmtId="177" fontId="13" fillId="0" borderId="30" xfId="0" applyNumberFormat="1" applyFont="1" applyBorder="1" applyAlignment="1">
      <alignment horizontal="center" vertical="center"/>
    </xf>
    <xf numFmtId="177" fontId="12" fillId="0" borderId="25" xfId="0" applyNumberFormat="1" applyFont="1" applyBorder="1" applyAlignment="1">
      <alignment horizontal="center" vertical="center"/>
    </xf>
    <xf numFmtId="177" fontId="12" fillId="0" borderId="25" xfId="0" applyNumberFormat="1" applyFont="1" applyFill="1" applyBorder="1" applyAlignment="1">
      <alignment horizontal="center" vertical="center"/>
    </xf>
    <xf numFmtId="176" fontId="12" fillId="0" borderId="26" xfId="0" applyNumberFormat="1" applyFont="1" applyFill="1" applyBorder="1" applyAlignment="1">
      <alignment horizontal="center" vertical="center"/>
    </xf>
    <xf numFmtId="176" fontId="13" fillId="0" borderId="30" xfId="0" applyNumberFormat="1" applyFont="1" applyBorder="1" applyAlignment="1">
      <alignment horizontal="center" vertical="center"/>
    </xf>
    <xf numFmtId="176" fontId="12" fillId="0" borderId="25" xfId="0" applyNumberFormat="1" applyFont="1" applyBorder="1" applyAlignment="1">
      <alignment horizontal="center" vertical="center"/>
    </xf>
    <xf numFmtId="176" fontId="12" fillId="0" borderId="25" xfId="0" applyNumberFormat="1" applyFont="1" applyFill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179" fontId="20" fillId="0" borderId="0" xfId="0" applyNumberFormat="1" applyFont="1" applyAlignment="1">
      <alignment vertical="center"/>
    </xf>
    <xf numFmtId="0" fontId="20" fillId="3" borderId="35" xfId="0" applyFont="1" applyFill="1" applyBorder="1" applyAlignment="1">
      <alignment horizontal="center" vertical="center"/>
    </xf>
    <xf numFmtId="181" fontId="20" fillId="0" borderId="36" xfId="0" applyNumberFormat="1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176" fontId="20" fillId="0" borderId="37" xfId="0" applyNumberFormat="1" applyFont="1" applyBorder="1" applyAlignment="1">
      <alignment horizontal="center" vertical="center"/>
    </xf>
    <xf numFmtId="176" fontId="21" fillId="0" borderId="38" xfId="0" applyNumberFormat="1" applyFont="1" applyBorder="1">
      <alignment vertical="center"/>
    </xf>
    <xf numFmtId="176" fontId="21" fillId="0" borderId="39" xfId="0" applyNumberFormat="1" applyFont="1" applyBorder="1">
      <alignment vertical="center"/>
    </xf>
    <xf numFmtId="176" fontId="21" fillId="0" borderId="40" xfId="0" applyNumberFormat="1" applyFont="1" applyBorder="1">
      <alignment vertical="center"/>
    </xf>
    <xf numFmtId="182" fontId="20" fillId="0" borderId="41" xfId="0" applyNumberFormat="1" applyFont="1" applyBorder="1" applyAlignment="1">
      <alignment horizontal="left" vertical="center"/>
    </xf>
    <xf numFmtId="182" fontId="20" fillId="0" borderId="33" xfId="0" applyNumberFormat="1" applyFont="1" applyBorder="1" applyAlignment="1">
      <alignment horizontal="left" vertical="center"/>
    </xf>
    <xf numFmtId="182" fontId="20" fillId="0" borderId="37" xfId="0" applyNumberFormat="1" applyFont="1" applyBorder="1" applyAlignment="1">
      <alignment horizontal="left" vertical="center"/>
    </xf>
    <xf numFmtId="176" fontId="20" fillId="0" borderId="42" xfId="0" applyNumberFormat="1" applyFont="1" applyBorder="1" applyAlignment="1">
      <alignment horizontal="center" vertical="center"/>
    </xf>
    <xf numFmtId="176" fontId="21" fillId="0" borderId="43" xfId="0" applyNumberFormat="1" applyFont="1" applyBorder="1">
      <alignment vertical="center"/>
    </xf>
    <xf numFmtId="176" fontId="21" fillId="0" borderId="0" xfId="0" applyNumberFormat="1" applyFont="1" applyBorder="1">
      <alignment vertical="center"/>
    </xf>
    <xf numFmtId="176" fontId="21" fillId="0" borderId="44" xfId="0" applyNumberFormat="1" applyFont="1" applyBorder="1">
      <alignment vertical="center"/>
    </xf>
    <xf numFmtId="182" fontId="20" fillId="0" borderId="0" xfId="0" applyNumberFormat="1" applyFont="1" applyBorder="1" applyAlignment="1">
      <alignment horizontal="left" vertical="center"/>
    </xf>
    <xf numFmtId="182" fontId="20" fillId="0" borderId="32" xfId="0" applyNumberFormat="1" applyFont="1" applyBorder="1" applyAlignment="1">
      <alignment horizontal="left" vertical="center"/>
    </xf>
    <xf numFmtId="182" fontId="20" fillId="0" borderId="42" xfId="0" applyNumberFormat="1" applyFont="1" applyBorder="1" applyAlignment="1">
      <alignment horizontal="left" vertical="center"/>
    </xf>
    <xf numFmtId="176" fontId="20" fillId="0" borderId="45" xfId="0" applyNumberFormat="1" applyFont="1" applyBorder="1" applyAlignment="1">
      <alignment horizontal="center" vertical="center"/>
    </xf>
    <xf numFmtId="176" fontId="21" fillId="0" borderId="46" xfId="0" applyNumberFormat="1" applyFont="1" applyBorder="1">
      <alignment vertical="center"/>
    </xf>
    <xf numFmtId="176" fontId="21" fillId="0" borderId="47" xfId="0" applyNumberFormat="1" applyFont="1" applyBorder="1">
      <alignment vertical="center"/>
    </xf>
    <xf numFmtId="176" fontId="21" fillId="0" borderId="48" xfId="0" applyNumberFormat="1" applyFont="1" applyBorder="1">
      <alignment vertical="center"/>
    </xf>
    <xf numFmtId="182" fontId="20" fillId="0" borderId="47" xfId="0" applyNumberFormat="1" applyFont="1" applyBorder="1" applyAlignment="1">
      <alignment horizontal="left" vertical="center"/>
    </xf>
    <xf numFmtId="182" fontId="20" fillId="0" borderId="49" xfId="0" applyNumberFormat="1" applyFont="1" applyBorder="1" applyAlignment="1">
      <alignment horizontal="left" vertical="center"/>
    </xf>
    <xf numFmtId="182" fontId="20" fillId="0" borderId="45" xfId="0" applyNumberFormat="1" applyFont="1" applyBorder="1" applyAlignment="1">
      <alignment horizontal="left" vertical="center"/>
    </xf>
    <xf numFmtId="176" fontId="21" fillId="0" borderId="50" xfId="0" applyNumberFormat="1" applyFont="1" applyBorder="1">
      <alignment vertical="center"/>
    </xf>
    <xf numFmtId="176" fontId="21" fillId="0" borderId="41" xfId="0" applyNumberFormat="1" applyFont="1" applyBorder="1">
      <alignment vertical="center"/>
    </xf>
    <xf numFmtId="176" fontId="21" fillId="0" borderId="51" xfId="0" applyNumberFormat="1" applyFont="1" applyBorder="1">
      <alignment vertical="center"/>
    </xf>
    <xf numFmtId="176" fontId="21" fillId="0" borderId="52" xfId="0" applyNumberFormat="1" applyFont="1" applyBorder="1">
      <alignment vertical="center"/>
    </xf>
    <xf numFmtId="176" fontId="21" fillId="0" borderId="53" xfId="0" applyNumberFormat="1" applyFont="1" applyBorder="1">
      <alignment vertical="center"/>
    </xf>
    <xf numFmtId="176" fontId="21" fillId="0" borderId="54" xfId="0" applyNumberFormat="1" applyFont="1" applyBorder="1">
      <alignment vertical="center"/>
    </xf>
    <xf numFmtId="179" fontId="20" fillId="0" borderId="0" xfId="0" applyNumberFormat="1" applyFont="1" applyBorder="1" applyAlignment="1">
      <alignment vertical="center"/>
    </xf>
    <xf numFmtId="176" fontId="20" fillId="0" borderId="36" xfId="0" applyNumberFormat="1" applyFont="1" applyBorder="1" applyAlignment="1">
      <alignment horizontal="center" vertical="center"/>
    </xf>
    <xf numFmtId="176" fontId="21" fillId="0" borderId="33" xfId="0" applyNumberFormat="1" applyFont="1" applyBorder="1">
      <alignment vertical="center"/>
    </xf>
    <xf numFmtId="176" fontId="20" fillId="0" borderId="55" xfId="0" applyNumberFormat="1" applyFont="1" applyBorder="1" applyAlignment="1">
      <alignment horizontal="center" vertical="center"/>
    </xf>
    <xf numFmtId="176" fontId="21" fillId="0" borderId="32" xfId="0" applyNumberFormat="1" applyFont="1" applyBorder="1">
      <alignment vertical="center"/>
    </xf>
    <xf numFmtId="176" fontId="20" fillId="0" borderId="56" xfId="0" applyNumberFormat="1" applyFont="1" applyBorder="1" applyAlignment="1">
      <alignment horizontal="center" vertical="center"/>
    </xf>
    <xf numFmtId="176" fontId="21" fillId="0" borderId="49" xfId="0" applyNumberFormat="1" applyFont="1" applyBorder="1">
      <alignment vertical="center"/>
    </xf>
    <xf numFmtId="180" fontId="20" fillId="2" borderId="0" xfId="0" applyNumberFormat="1" applyFont="1" applyFill="1" applyAlignment="1">
      <alignment horizontal="left" vertical="center"/>
    </xf>
    <xf numFmtId="180" fontId="20" fillId="0" borderId="0" xfId="0" applyNumberFormat="1" applyFont="1" applyBorder="1" applyAlignment="1">
      <alignment horizontal="left" vertical="center"/>
    </xf>
    <xf numFmtId="182" fontId="20" fillId="0" borderId="36" xfId="0" applyNumberFormat="1" applyFont="1" applyBorder="1" applyAlignment="1">
      <alignment horizontal="left" vertical="center"/>
    </xf>
    <xf numFmtId="182" fontId="20" fillId="0" borderId="55" xfId="0" applyNumberFormat="1" applyFont="1" applyBorder="1" applyAlignment="1">
      <alignment horizontal="left" vertical="center"/>
    </xf>
    <xf numFmtId="182" fontId="20" fillId="0" borderId="56" xfId="0" applyNumberFormat="1" applyFont="1" applyBorder="1" applyAlignment="1">
      <alignment horizontal="left" vertical="center"/>
    </xf>
    <xf numFmtId="180" fontId="0" fillId="0" borderId="0" xfId="0" applyNumberFormat="1">
      <alignment vertical="center"/>
    </xf>
    <xf numFmtId="1" fontId="7" fillId="0" borderId="57" xfId="0" applyNumberFormat="1" applyFont="1" applyBorder="1" applyAlignment="1">
      <alignment horizontal="center" vertical="center" wrapText="1"/>
    </xf>
    <xf numFmtId="1" fontId="12" fillId="0" borderId="59" xfId="0" applyNumberFormat="1" applyFont="1" applyBorder="1" applyAlignment="1">
      <alignment horizontal="center" vertical="center"/>
    </xf>
    <xf numFmtId="1" fontId="12" fillId="0" borderId="60" xfId="0" applyNumberFormat="1" applyFont="1" applyBorder="1" applyAlignment="1">
      <alignment horizontal="center" vertical="center"/>
    </xf>
    <xf numFmtId="1" fontId="22" fillId="0" borderId="7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1" fontId="23" fillId="0" borderId="15" xfId="0" applyNumberFormat="1" applyFont="1" applyBorder="1" applyAlignment="1">
      <alignment horizontal="center" vertical="center"/>
    </xf>
    <xf numFmtId="1" fontId="23" fillId="0" borderId="7" xfId="0" applyNumberFormat="1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Border="1">
      <alignment vertical="center"/>
    </xf>
    <xf numFmtId="0" fontId="25" fillId="0" borderId="19" xfId="0" applyFont="1" applyBorder="1">
      <alignment vertical="center"/>
    </xf>
    <xf numFmtId="0" fontId="24" fillId="0" borderId="28" xfId="0" applyFont="1" applyBorder="1">
      <alignment vertical="center"/>
    </xf>
    <xf numFmtId="0" fontId="25" fillId="0" borderId="28" xfId="0" applyFont="1" applyBorder="1">
      <alignment vertical="center"/>
    </xf>
    <xf numFmtId="176" fontId="13" fillId="0" borderId="7" xfId="0" applyNumberFormat="1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176" fontId="13" fillId="0" borderId="15" xfId="0" applyNumberFormat="1" applyFont="1" applyBorder="1" applyAlignment="1">
      <alignment horizontal="center" vertical="center"/>
    </xf>
    <xf numFmtId="176" fontId="16" fillId="0" borderId="7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17" fillId="0" borderId="7" xfId="0" applyNumberFormat="1" applyFont="1" applyBorder="1" applyAlignment="1">
      <alignment horizontal="center" vertical="center"/>
    </xf>
    <xf numFmtId="0" fontId="24" fillId="0" borderId="19" xfId="0" applyFont="1" applyBorder="1">
      <alignment vertical="center"/>
    </xf>
    <xf numFmtId="176" fontId="13" fillId="0" borderId="29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25" fillId="0" borderId="0" xfId="0" applyNumberFormat="1" applyFont="1" applyBorder="1">
      <alignment vertical="center"/>
    </xf>
    <xf numFmtId="176" fontId="25" fillId="0" borderId="0" xfId="0" applyNumberFormat="1" applyFont="1">
      <alignment vertical="center"/>
    </xf>
    <xf numFmtId="176" fontId="25" fillId="0" borderId="28" xfId="0" applyNumberFormat="1" applyFont="1" applyBorder="1">
      <alignment vertical="center"/>
    </xf>
    <xf numFmtId="176" fontId="25" fillId="0" borderId="19" xfId="0" applyNumberFormat="1" applyFont="1" applyBorder="1">
      <alignment vertical="center"/>
    </xf>
    <xf numFmtId="176" fontId="13" fillId="0" borderId="25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vertical="center" textRotation="255"/>
    </xf>
    <xf numFmtId="0" fontId="11" fillId="0" borderId="34" xfId="0" applyFont="1" applyBorder="1" applyAlignment="1">
      <alignment vertical="center" textRotation="255"/>
    </xf>
    <xf numFmtId="0" fontId="5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58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 textRotation="255"/>
    </xf>
    <xf numFmtId="0" fontId="11" fillId="0" borderId="27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 textRotation="255"/>
    </xf>
    <xf numFmtId="0" fontId="11" fillId="0" borderId="31" xfId="0" applyFont="1" applyBorder="1" applyAlignment="1">
      <alignment horizontal="center" vertical="center" textRotation="255"/>
    </xf>
    <xf numFmtId="0" fontId="11" fillId="0" borderId="61" xfId="0" applyFont="1" applyBorder="1" applyAlignment="1">
      <alignment horizontal="center" vertical="center" textRotation="255"/>
    </xf>
    <xf numFmtId="0" fontId="11" fillId="0" borderId="62" xfId="0" applyFont="1" applyBorder="1" applyAlignment="1">
      <alignment horizontal="center" vertical="center" textRotation="255"/>
    </xf>
    <xf numFmtId="0" fontId="11" fillId="0" borderId="33" xfId="0" applyFont="1" applyBorder="1" applyAlignment="1">
      <alignment horizontal="center" vertical="center" textRotation="255"/>
    </xf>
    <xf numFmtId="0" fontId="11" fillId="0" borderId="32" xfId="0" applyFont="1" applyBorder="1" applyAlignment="1">
      <alignment horizontal="center" vertical="center" textRotation="255"/>
    </xf>
    <xf numFmtId="0" fontId="20" fillId="0" borderId="0" xfId="0" applyFont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179" fontId="20" fillId="0" borderId="0" xfId="0" applyNumberFormat="1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 wrapText="1"/>
    </xf>
    <xf numFmtId="0" fontId="20" fillId="0" borderId="47" xfId="0" applyFont="1" applyBorder="1" applyAlignment="1">
      <alignment horizontal="left" vertical="center"/>
    </xf>
  </cellXfs>
  <cellStyles count="1">
    <cellStyle name="一般" xfId="0" builtinId="0"/>
  </cellStyles>
  <dxfs count="22"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57150</xdr:rowOff>
    </xdr:from>
    <xdr:to>
      <xdr:col>4</xdr:col>
      <xdr:colOff>9525</xdr:colOff>
      <xdr:row>2</xdr:row>
      <xdr:rowOff>9525</xdr:rowOff>
    </xdr:to>
    <xdr:grpSp>
      <xdr:nvGrpSpPr>
        <xdr:cNvPr id="10" name="群組 9"/>
        <xdr:cNvGrpSpPr/>
      </xdr:nvGrpSpPr>
      <xdr:grpSpPr>
        <a:xfrm>
          <a:off x="160020" y="57150"/>
          <a:ext cx="984885" cy="561975"/>
          <a:chOff x="180975" y="19050"/>
          <a:chExt cx="1085850" cy="561975"/>
        </a:xfrm>
      </xdr:grpSpPr>
      <xdr:pic>
        <xdr:nvPicPr>
          <xdr:cNvPr id="5" name="圖片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0768" y="19050"/>
            <a:ext cx="506057" cy="5619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圖片 8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975" y="38100"/>
            <a:ext cx="447675" cy="536378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184785</xdr:colOff>
      <xdr:row>0</xdr:row>
      <xdr:rowOff>30480</xdr:rowOff>
    </xdr:from>
    <xdr:to>
      <xdr:col>4</xdr:col>
      <xdr:colOff>33622</xdr:colOff>
      <xdr:row>1</xdr:row>
      <xdr:rowOff>286561</xdr:rowOff>
    </xdr:to>
    <xdr:pic>
      <xdr:nvPicPr>
        <xdr:cNvPr id="6" name="圖片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785" y="30480"/>
          <a:ext cx="984217" cy="5608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36195</xdr:rowOff>
    </xdr:from>
    <xdr:to>
      <xdr:col>4</xdr:col>
      <xdr:colOff>24097</xdr:colOff>
      <xdr:row>1</xdr:row>
      <xdr:rowOff>292276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260" y="36195"/>
          <a:ext cx="984217" cy="5608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4</xdr:col>
      <xdr:colOff>20287</xdr:colOff>
      <xdr:row>1</xdr:row>
      <xdr:rowOff>294181</xdr:rowOff>
    </xdr:to>
    <xdr:pic>
      <xdr:nvPicPr>
        <xdr:cNvPr id="6" name="圖片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38100"/>
          <a:ext cx="984217" cy="560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94"/>
  <sheetViews>
    <sheetView workbookViewId="0">
      <selection activeCell="J13" sqref="J13"/>
    </sheetView>
  </sheetViews>
  <sheetFormatPr defaultRowHeight="16.5" x14ac:dyDescent="0.25"/>
  <cols>
    <col min="4" max="4" width="3.375" customWidth="1"/>
    <col min="5" max="5" width="6.625" customWidth="1"/>
    <col min="6" max="6" width="3.625" customWidth="1"/>
    <col min="7" max="7" width="3.375" customWidth="1"/>
    <col min="8" max="8" width="6.625" customWidth="1"/>
    <col min="9" max="10" width="3.625" customWidth="1"/>
    <col min="11" max="11" width="5.5" bestFit="1" customWidth="1"/>
    <col min="12" max="12" width="3.5" bestFit="1" customWidth="1"/>
    <col min="13" max="13" width="35.5" customWidth="1"/>
    <col min="14" max="14" width="5.625" bestFit="1" customWidth="1"/>
    <col min="15" max="18" width="7.75" bestFit="1" customWidth="1"/>
    <col min="19" max="19" width="7.75" customWidth="1"/>
    <col min="21" max="21" width="26.25" bestFit="1" customWidth="1"/>
    <col min="22" max="22" width="3.5" bestFit="1" customWidth="1"/>
    <col min="23" max="23" width="27.375" bestFit="1" customWidth="1"/>
    <col min="24" max="24" width="5.625" bestFit="1" customWidth="1"/>
    <col min="25" max="27" width="3.5" bestFit="1" customWidth="1"/>
  </cols>
  <sheetData>
    <row r="2" spans="1:28" ht="16.149999999999999" x14ac:dyDescent="0.3">
      <c r="A2" s="70">
        <v>0.29166666666666669</v>
      </c>
      <c r="B2" s="70"/>
      <c r="C2" s="70"/>
    </row>
    <row r="3" spans="1:28" ht="17.25" thickBot="1" x14ac:dyDescent="0.3">
      <c r="A3" s="71">
        <v>9</v>
      </c>
      <c r="B3" s="71"/>
      <c r="C3" s="71"/>
      <c r="K3" s="52" t="s">
        <v>14</v>
      </c>
      <c r="L3" s="52" t="s">
        <v>6</v>
      </c>
      <c r="M3" s="52" t="s">
        <v>7</v>
      </c>
      <c r="N3" s="52" t="s">
        <v>8</v>
      </c>
      <c r="O3" s="52" t="s">
        <v>9</v>
      </c>
      <c r="P3" s="52" t="s">
        <v>10</v>
      </c>
      <c r="Q3" s="52" t="s">
        <v>11</v>
      </c>
      <c r="R3" s="52" t="s">
        <v>12</v>
      </c>
      <c r="S3" s="52" t="s">
        <v>13</v>
      </c>
      <c r="X3" s="52"/>
      <c r="Y3" s="52"/>
    </row>
    <row r="4" spans="1:28" ht="17.25" x14ac:dyDescent="0.25">
      <c r="A4" s="75">
        <v>34</v>
      </c>
      <c r="B4" s="75">
        <f>MOD(A4,3)</f>
        <v>1</v>
      </c>
      <c r="C4" s="75">
        <f>IF(B4=0,A4/3,INT(A4/3)+1)</f>
        <v>12</v>
      </c>
      <c r="D4" s="76">
        <f>IF(F4&lt;&gt;"",1,"")</f>
        <v>1</v>
      </c>
      <c r="E4" s="10">
        <f>IF(D4="","",A2)</f>
        <v>0.29166666666666669</v>
      </c>
      <c r="F4" s="43">
        <f>MAX(F7:F9)+1</f>
        <v>25</v>
      </c>
      <c r="G4" s="76">
        <f>IF(I4&lt;&gt;"",2,"")</f>
        <v>2</v>
      </c>
      <c r="H4" s="10">
        <f>IF(G4="","",A2)</f>
        <v>0.29166666666666669</v>
      </c>
      <c r="I4" s="43">
        <v>33</v>
      </c>
      <c r="J4" s="53"/>
      <c r="K4" s="74" t="str">
        <f t="shared" ref="K4:K35" si="0">IF(ISNA(VLOOKUP(L4,$V$4:$AB$55,7,FALSE)),"",VLOOKUP(L4,$V$4:$AB$55,7,FALSE))</f>
        <v/>
      </c>
      <c r="L4">
        <v>1</v>
      </c>
      <c r="M4" s="149" t="s">
        <v>59</v>
      </c>
      <c r="N4" s="150" t="s">
        <v>25</v>
      </c>
      <c r="O4" s="164">
        <v>84</v>
      </c>
      <c r="P4" s="164">
        <v>90</v>
      </c>
      <c r="Q4" s="164" t="str">
        <f t="shared" ref="Q4:Q35" si="1">IF(ISNA(VLOOKUP(L4,$V$4:$AB$55,6,FALSE)),"",VLOOKUP(L4,$V$4:$AB$55,6,FALSE))</f>
        <v/>
      </c>
      <c r="R4" s="164"/>
      <c r="S4" s="164">
        <f>SUM(O4:R4)</f>
        <v>174</v>
      </c>
      <c r="V4">
        <v>37</v>
      </c>
      <c r="W4" t="s">
        <v>84</v>
      </c>
      <c r="X4" t="s">
        <v>82</v>
      </c>
      <c r="Y4">
        <v>70</v>
      </c>
      <c r="Z4">
        <v>70</v>
      </c>
      <c r="AA4">
        <v>71</v>
      </c>
      <c r="AB4">
        <v>2</v>
      </c>
    </row>
    <row r="5" spans="1:28" ht="16.899999999999999" x14ac:dyDescent="0.3">
      <c r="A5" s="75">
        <v>16</v>
      </c>
      <c r="B5" s="75">
        <f>MOD(A5,3)</f>
        <v>1</v>
      </c>
      <c r="C5" s="75">
        <f>IF(B5=0,A5/3,INT(A5/3)+1)</f>
        <v>6</v>
      </c>
      <c r="D5" s="44"/>
      <c r="E5" s="18"/>
      <c r="F5" s="45">
        <f>F4+1</f>
        <v>26</v>
      </c>
      <c r="G5" s="44"/>
      <c r="H5" s="18"/>
      <c r="I5" s="45">
        <f>I4+1</f>
        <v>34</v>
      </c>
      <c r="J5" s="53"/>
      <c r="K5" s="74">
        <f t="shared" si="0"/>
        <v>19</v>
      </c>
      <c r="L5" s="86">
        <v>2</v>
      </c>
      <c r="M5" s="151" t="s">
        <v>60</v>
      </c>
      <c r="N5" s="151" t="s">
        <v>54</v>
      </c>
      <c r="O5" s="164">
        <v>77</v>
      </c>
      <c r="P5" s="164">
        <v>78</v>
      </c>
      <c r="Q5" s="164">
        <f t="shared" si="1"/>
        <v>76</v>
      </c>
      <c r="R5" s="164"/>
      <c r="S5" s="164">
        <f>SUM(O5:R5)</f>
        <v>231</v>
      </c>
      <c r="V5">
        <v>34</v>
      </c>
      <c r="W5" t="s">
        <v>81</v>
      </c>
      <c r="X5" t="s">
        <v>82</v>
      </c>
      <c r="Y5">
        <v>75</v>
      </c>
      <c r="Z5">
        <v>66</v>
      </c>
      <c r="AA5">
        <v>75</v>
      </c>
      <c r="AB5">
        <v>4</v>
      </c>
    </row>
    <row r="6" spans="1:28" ht="17.25" x14ac:dyDescent="0.25">
      <c r="C6" s="75">
        <f>SUM(C4:C5)</f>
        <v>18</v>
      </c>
      <c r="D6" s="46"/>
      <c r="E6" s="26"/>
      <c r="F6" s="47"/>
      <c r="G6" s="46"/>
      <c r="H6" s="26"/>
      <c r="I6" s="47">
        <f>I5+1</f>
        <v>35</v>
      </c>
      <c r="J6" s="53"/>
      <c r="K6" s="74" t="str">
        <f t="shared" si="0"/>
        <v/>
      </c>
      <c r="L6">
        <v>3</v>
      </c>
      <c r="M6" s="149"/>
      <c r="N6" s="151"/>
      <c r="O6" s="165">
        <v>0</v>
      </c>
      <c r="P6" s="165"/>
      <c r="Q6" s="164" t="str">
        <f t="shared" si="1"/>
        <v/>
      </c>
      <c r="R6" s="165"/>
      <c r="S6" s="165">
        <f>SUM(O6:R6)</f>
        <v>0</v>
      </c>
      <c r="V6">
        <v>38</v>
      </c>
      <c r="W6" t="s">
        <v>119</v>
      </c>
      <c r="X6" t="s">
        <v>25</v>
      </c>
      <c r="Y6">
        <v>72</v>
      </c>
      <c r="Z6">
        <v>69</v>
      </c>
      <c r="AA6">
        <v>81</v>
      </c>
      <c r="AB6">
        <v>9</v>
      </c>
    </row>
    <row r="7" spans="1:28" ht="17.25" x14ac:dyDescent="0.25">
      <c r="D7" s="77">
        <f>IF(F7="","",D4+2)</f>
        <v>3</v>
      </c>
      <c r="E7" s="34">
        <f>IF(D7="","",E4+$A$3/60/24)</f>
        <v>0.29791666666666666</v>
      </c>
      <c r="F7" s="48">
        <f>MAX(F10:F12)+1</f>
        <v>22</v>
      </c>
      <c r="G7" s="77">
        <f>IF(I7="","",G4+2)</f>
        <v>4</v>
      </c>
      <c r="H7" s="34">
        <f>IF(G7="","",H4+$A$3/60/24)</f>
        <v>0.29791666666666666</v>
      </c>
      <c r="I7" s="48">
        <f>I4-3</f>
        <v>30</v>
      </c>
      <c r="J7" s="53"/>
      <c r="K7" s="74" t="str">
        <f t="shared" si="0"/>
        <v/>
      </c>
      <c r="L7" s="86">
        <v>4</v>
      </c>
      <c r="M7" s="150" t="s">
        <v>61</v>
      </c>
      <c r="N7" s="151" t="s">
        <v>25</v>
      </c>
      <c r="O7" s="165">
        <v>88</v>
      </c>
      <c r="P7" s="165">
        <v>80</v>
      </c>
      <c r="Q7" s="164" t="str">
        <f t="shared" si="1"/>
        <v/>
      </c>
      <c r="R7" s="165"/>
      <c r="S7" s="165">
        <f t="shared" ref="S7:S16" si="2">SUM(O7:R7)</f>
        <v>168</v>
      </c>
      <c r="V7">
        <v>26</v>
      </c>
      <c r="W7" t="s">
        <v>77</v>
      </c>
      <c r="X7" t="s">
        <v>74</v>
      </c>
      <c r="Y7">
        <v>70</v>
      </c>
      <c r="Z7">
        <v>72</v>
      </c>
      <c r="AA7">
        <v>69</v>
      </c>
      <c r="AB7">
        <v>1</v>
      </c>
    </row>
    <row r="8" spans="1:28" ht="17.25" x14ac:dyDescent="0.25">
      <c r="D8" s="44"/>
      <c r="E8" s="18"/>
      <c r="F8" s="45">
        <f>F7+1</f>
        <v>23</v>
      </c>
      <c r="G8" s="44"/>
      <c r="H8" s="18"/>
      <c r="I8" s="45">
        <f>I7+1</f>
        <v>31</v>
      </c>
      <c r="J8" s="53"/>
      <c r="K8" s="74" t="str">
        <f t="shared" si="0"/>
        <v/>
      </c>
      <c r="L8">
        <v>5</v>
      </c>
      <c r="M8" s="150"/>
      <c r="N8" s="151"/>
      <c r="O8" s="165">
        <v>0</v>
      </c>
      <c r="P8" s="165">
        <v>0</v>
      </c>
      <c r="Q8" s="164" t="str">
        <f t="shared" si="1"/>
        <v/>
      </c>
      <c r="R8" s="165"/>
      <c r="S8" s="165">
        <f t="shared" si="2"/>
        <v>0</v>
      </c>
      <c r="V8">
        <v>35</v>
      </c>
      <c r="W8" t="s">
        <v>120</v>
      </c>
      <c r="X8" t="s">
        <v>25</v>
      </c>
      <c r="Y8">
        <v>71</v>
      </c>
      <c r="Z8">
        <v>71</v>
      </c>
      <c r="AA8">
        <v>82</v>
      </c>
      <c r="AB8">
        <v>11</v>
      </c>
    </row>
    <row r="9" spans="1:28" ht="17.25" x14ac:dyDescent="0.25">
      <c r="D9" s="46"/>
      <c r="E9" s="26"/>
      <c r="F9" s="47">
        <f>F8+1</f>
        <v>24</v>
      </c>
      <c r="G9" s="46"/>
      <c r="H9" s="26"/>
      <c r="I9" s="47">
        <f>I8+1</f>
        <v>32</v>
      </c>
      <c r="K9" s="74">
        <f t="shared" si="0"/>
        <v>15</v>
      </c>
      <c r="L9" s="86">
        <v>6</v>
      </c>
      <c r="M9" s="150" t="s">
        <v>33</v>
      </c>
      <c r="N9" s="151" t="s">
        <v>25</v>
      </c>
      <c r="O9" s="165">
        <v>78</v>
      </c>
      <c r="P9" s="165">
        <v>80</v>
      </c>
      <c r="Q9" s="164">
        <f t="shared" si="1"/>
        <v>72</v>
      </c>
      <c r="R9" s="165"/>
      <c r="S9" s="165">
        <f>SUM(O9:R9)</f>
        <v>230</v>
      </c>
      <c r="V9">
        <v>23</v>
      </c>
      <c r="W9" t="s">
        <v>73</v>
      </c>
      <c r="X9" t="s">
        <v>74</v>
      </c>
      <c r="Y9">
        <v>72</v>
      </c>
      <c r="Z9">
        <v>71</v>
      </c>
      <c r="AA9">
        <v>76</v>
      </c>
      <c r="AB9">
        <v>7</v>
      </c>
    </row>
    <row r="10" spans="1:28" ht="17.25" x14ac:dyDescent="0.25">
      <c r="D10" s="77">
        <f>IF(F10="","",D7+2)</f>
        <v>5</v>
      </c>
      <c r="E10" s="34">
        <f>IF(D10="","",E7+$A$3/60/24)</f>
        <v>0.30416666666666664</v>
      </c>
      <c r="F10" s="48">
        <f>MAX(F13:F15)+1</f>
        <v>19</v>
      </c>
      <c r="G10" s="77">
        <f>IF(I10="","",G7+2)</f>
        <v>6</v>
      </c>
      <c r="H10" s="34">
        <f>IF(G10="","",H7+$A$3/60/24)</f>
        <v>0.30416666666666664</v>
      </c>
      <c r="I10" s="48">
        <f>I7-3</f>
        <v>27</v>
      </c>
      <c r="K10" s="74">
        <f t="shared" si="0"/>
        <v>30</v>
      </c>
      <c r="L10">
        <v>7</v>
      </c>
      <c r="M10" s="150" t="s">
        <v>62</v>
      </c>
      <c r="N10" s="151" t="s">
        <v>25</v>
      </c>
      <c r="O10" s="165">
        <v>74</v>
      </c>
      <c r="P10" s="165">
        <v>79</v>
      </c>
      <c r="Q10" s="164">
        <f t="shared" si="1"/>
        <v>86</v>
      </c>
      <c r="R10" s="165"/>
      <c r="S10" s="165">
        <f t="shared" si="2"/>
        <v>239</v>
      </c>
      <c r="V10">
        <v>32</v>
      </c>
      <c r="W10" t="s">
        <v>79</v>
      </c>
      <c r="X10" t="s">
        <v>35</v>
      </c>
      <c r="Y10">
        <v>71</v>
      </c>
      <c r="Z10">
        <v>72</v>
      </c>
      <c r="AA10">
        <v>73</v>
      </c>
      <c r="AB10">
        <v>3</v>
      </c>
    </row>
    <row r="11" spans="1:28" ht="17.25" x14ac:dyDescent="0.25">
      <c r="D11" s="44"/>
      <c r="E11" s="18"/>
      <c r="F11" s="45">
        <f>F10+1</f>
        <v>20</v>
      </c>
      <c r="G11" s="44"/>
      <c r="H11" s="18"/>
      <c r="I11" s="45">
        <f>I10+1</f>
        <v>28</v>
      </c>
      <c r="J11" s="53"/>
      <c r="K11" s="74">
        <f t="shared" si="0"/>
        <v>22</v>
      </c>
      <c r="L11" s="86">
        <v>8</v>
      </c>
      <c r="M11" s="150" t="s">
        <v>63</v>
      </c>
      <c r="N11" s="151" t="s">
        <v>54</v>
      </c>
      <c r="O11" s="165">
        <v>74</v>
      </c>
      <c r="P11" s="165">
        <v>75</v>
      </c>
      <c r="Q11" s="164">
        <f t="shared" si="1"/>
        <v>83</v>
      </c>
      <c r="R11" s="165"/>
      <c r="S11" s="165">
        <f t="shared" si="2"/>
        <v>232</v>
      </c>
      <c r="V11">
        <v>51</v>
      </c>
      <c r="W11" t="s">
        <v>121</v>
      </c>
      <c r="X11" t="s">
        <v>25</v>
      </c>
      <c r="Y11">
        <v>74</v>
      </c>
      <c r="Z11">
        <v>69</v>
      </c>
      <c r="AA11">
        <v>78</v>
      </c>
      <c r="AB11">
        <v>8</v>
      </c>
    </row>
    <row r="12" spans="1:28" ht="16.899999999999999" x14ac:dyDescent="0.3">
      <c r="D12" s="46"/>
      <c r="E12" s="26"/>
      <c r="F12" s="47">
        <f>F11+1</f>
        <v>21</v>
      </c>
      <c r="G12" s="46"/>
      <c r="H12" s="26"/>
      <c r="I12" s="45">
        <f>I11+1</f>
        <v>29</v>
      </c>
      <c r="K12" s="74" t="str">
        <f t="shared" si="0"/>
        <v/>
      </c>
      <c r="L12">
        <v>9</v>
      </c>
      <c r="M12" s="150"/>
      <c r="N12" s="151"/>
      <c r="O12" s="165">
        <v>0</v>
      </c>
      <c r="P12" s="165">
        <v>0</v>
      </c>
      <c r="Q12" s="164" t="str">
        <f t="shared" si="1"/>
        <v/>
      </c>
      <c r="R12" s="165"/>
      <c r="S12" s="165">
        <f t="shared" si="2"/>
        <v>0</v>
      </c>
      <c r="V12">
        <v>25</v>
      </c>
      <c r="W12" t="s">
        <v>76</v>
      </c>
      <c r="X12" t="s">
        <v>54</v>
      </c>
      <c r="Y12">
        <v>73</v>
      </c>
      <c r="Z12">
        <v>71</v>
      </c>
      <c r="AA12">
        <v>79</v>
      </c>
      <c r="AB12">
        <v>10</v>
      </c>
    </row>
    <row r="13" spans="1:28" ht="17.25" x14ac:dyDescent="0.25">
      <c r="D13" s="77">
        <f>IF(F13="","",D10+2)</f>
        <v>7</v>
      </c>
      <c r="E13" s="34">
        <f>IF(D13="","",E10+$A$3/60/24)</f>
        <v>0.31041666666666662</v>
      </c>
      <c r="F13" s="48">
        <f>MAX(F16:F18)+1</f>
        <v>16</v>
      </c>
      <c r="G13" s="77">
        <f>IF(I13="","",G10+2)</f>
        <v>8</v>
      </c>
      <c r="H13" s="34">
        <f>IF(G13="","",H10+$A$3/60/24)</f>
        <v>0.31041666666666662</v>
      </c>
      <c r="I13" s="48">
        <f>MAX(I16:I18)+1</f>
        <v>13</v>
      </c>
      <c r="K13" s="74" t="str">
        <f t="shared" si="0"/>
        <v/>
      </c>
      <c r="L13" s="86">
        <v>10</v>
      </c>
      <c r="M13" s="150" t="s">
        <v>64</v>
      </c>
      <c r="N13" s="151" t="s">
        <v>25</v>
      </c>
      <c r="O13" s="165">
        <v>95</v>
      </c>
      <c r="P13" s="165">
        <v>87</v>
      </c>
      <c r="Q13" s="164" t="str">
        <f t="shared" si="1"/>
        <v/>
      </c>
      <c r="R13" s="165"/>
      <c r="S13" s="165">
        <f t="shared" si="2"/>
        <v>182</v>
      </c>
      <c r="V13">
        <v>28</v>
      </c>
      <c r="W13" t="s">
        <v>36</v>
      </c>
      <c r="X13" t="s">
        <v>37</v>
      </c>
      <c r="Y13">
        <v>72</v>
      </c>
      <c r="Z13">
        <v>74</v>
      </c>
      <c r="AA13">
        <v>73</v>
      </c>
      <c r="AB13">
        <v>6</v>
      </c>
    </row>
    <row r="14" spans="1:28" ht="16.899999999999999" x14ac:dyDescent="0.3">
      <c r="D14" s="44"/>
      <c r="E14" s="18"/>
      <c r="F14" s="45">
        <f>F13+1</f>
        <v>17</v>
      </c>
      <c r="G14" s="44"/>
      <c r="H14" s="18"/>
      <c r="I14" s="45">
        <f>I13+1</f>
        <v>14</v>
      </c>
      <c r="J14" s="53"/>
      <c r="K14" s="74">
        <f t="shared" si="0"/>
        <v>31</v>
      </c>
      <c r="L14">
        <v>11</v>
      </c>
      <c r="M14" s="150" t="s">
        <v>65</v>
      </c>
      <c r="N14" s="151" t="s">
        <v>54</v>
      </c>
      <c r="O14" s="165">
        <v>76</v>
      </c>
      <c r="P14" s="165">
        <v>83</v>
      </c>
      <c r="Q14" s="164">
        <f t="shared" si="1"/>
        <v>81</v>
      </c>
      <c r="R14" s="165"/>
      <c r="S14" s="165">
        <f t="shared" si="2"/>
        <v>240</v>
      </c>
      <c r="V14">
        <v>31</v>
      </c>
      <c r="W14" t="s">
        <v>38</v>
      </c>
      <c r="X14" t="s">
        <v>37</v>
      </c>
      <c r="Y14">
        <v>78</v>
      </c>
      <c r="Z14">
        <v>69</v>
      </c>
      <c r="AA14">
        <v>70</v>
      </c>
      <c r="AB14">
        <v>5</v>
      </c>
    </row>
    <row r="15" spans="1:28" ht="18" thickBot="1" x14ac:dyDescent="0.3">
      <c r="D15" s="46"/>
      <c r="E15" s="26"/>
      <c r="F15" s="47">
        <f>F14+1</f>
        <v>18</v>
      </c>
      <c r="G15" s="46"/>
      <c r="H15" s="26"/>
      <c r="I15" s="45">
        <f>I14+1</f>
        <v>15</v>
      </c>
      <c r="J15" s="144"/>
      <c r="K15" s="74">
        <f t="shared" si="0"/>
        <v>36</v>
      </c>
      <c r="L15" s="86">
        <v>12</v>
      </c>
      <c r="M15" s="150" t="s">
        <v>40</v>
      </c>
      <c r="N15" s="151" t="s">
        <v>25</v>
      </c>
      <c r="O15" s="165">
        <v>77</v>
      </c>
      <c r="P15" s="165">
        <v>79</v>
      </c>
      <c r="Q15" s="164">
        <f t="shared" si="1"/>
        <v>0</v>
      </c>
      <c r="R15" s="165"/>
      <c r="S15" s="165">
        <f t="shared" si="2"/>
        <v>156</v>
      </c>
      <c r="V15">
        <v>8</v>
      </c>
      <c r="W15" t="s">
        <v>63</v>
      </c>
      <c r="X15" t="s">
        <v>54</v>
      </c>
      <c r="Y15">
        <v>74</v>
      </c>
      <c r="Z15">
        <v>75</v>
      </c>
      <c r="AA15">
        <v>83</v>
      </c>
      <c r="AB15">
        <v>22</v>
      </c>
    </row>
    <row r="16" spans="1:28" ht="18" thickTop="1" x14ac:dyDescent="0.25">
      <c r="D16" s="77">
        <f>IF(F16="","",D13+2)</f>
        <v>9</v>
      </c>
      <c r="E16" s="34">
        <f>IF(D16="","",E13+$A$3/60/24)</f>
        <v>0.3166666666666666</v>
      </c>
      <c r="F16" s="48">
        <f>MAX(F19:F21)+1</f>
        <v>13</v>
      </c>
      <c r="G16" s="77">
        <f>IF(I16="","",G13+2)</f>
        <v>10</v>
      </c>
      <c r="H16" s="34">
        <f>IF(G16="","",H13+$A$3/60/24)</f>
        <v>0.3166666666666666</v>
      </c>
      <c r="I16" s="48">
        <f>MAX(I19:I21)+1</f>
        <v>10</v>
      </c>
      <c r="J16" s="53"/>
      <c r="K16" s="74">
        <f t="shared" si="0"/>
        <v>20</v>
      </c>
      <c r="L16">
        <v>13</v>
      </c>
      <c r="M16" s="150" t="s">
        <v>66</v>
      </c>
      <c r="N16" s="151" t="s">
        <v>25</v>
      </c>
      <c r="O16" s="165">
        <v>77</v>
      </c>
      <c r="P16" s="165">
        <v>75</v>
      </c>
      <c r="Q16" s="164">
        <f t="shared" si="1"/>
        <v>79</v>
      </c>
      <c r="R16" s="165"/>
      <c r="S16" s="165">
        <f t="shared" si="2"/>
        <v>231</v>
      </c>
      <c r="V16">
        <v>16</v>
      </c>
      <c r="W16" t="s">
        <v>122</v>
      </c>
      <c r="X16" t="s">
        <v>25</v>
      </c>
      <c r="Y16">
        <v>75</v>
      </c>
      <c r="Z16">
        <v>74</v>
      </c>
      <c r="AA16">
        <v>76</v>
      </c>
      <c r="AB16">
        <v>12</v>
      </c>
    </row>
    <row r="17" spans="4:28" ht="17.25" x14ac:dyDescent="0.25">
      <c r="D17" s="44"/>
      <c r="E17" s="18"/>
      <c r="F17" s="45">
        <f>F16+1</f>
        <v>14</v>
      </c>
      <c r="G17" s="44"/>
      <c r="H17" s="18"/>
      <c r="I17" s="45">
        <f>I16+1</f>
        <v>11</v>
      </c>
      <c r="J17" s="53"/>
      <c r="K17" s="74" t="str">
        <f t="shared" si="0"/>
        <v/>
      </c>
      <c r="L17" s="86">
        <v>14</v>
      </c>
      <c r="M17" s="150" t="s">
        <v>67</v>
      </c>
      <c r="N17" s="151" t="s">
        <v>54</v>
      </c>
      <c r="O17" s="165">
        <v>86</v>
      </c>
      <c r="P17" s="165">
        <v>87</v>
      </c>
      <c r="Q17" s="164" t="str">
        <f t="shared" si="1"/>
        <v/>
      </c>
      <c r="R17" s="165"/>
      <c r="S17" s="165">
        <f t="shared" ref="S17:S56" si="3">SUM(O17:R17)</f>
        <v>173</v>
      </c>
      <c r="V17">
        <v>43</v>
      </c>
      <c r="W17" t="s">
        <v>123</v>
      </c>
      <c r="X17" t="s">
        <v>25</v>
      </c>
      <c r="Y17">
        <v>70</v>
      </c>
      <c r="Z17">
        <v>80</v>
      </c>
      <c r="AA17">
        <v>78</v>
      </c>
      <c r="AB17">
        <v>13</v>
      </c>
    </row>
    <row r="18" spans="4:28" ht="17.25" x14ac:dyDescent="0.25">
      <c r="D18" s="46"/>
      <c r="E18" s="18"/>
      <c r="F18" s="47">
        <f>F17+1</f>
        <v>15</v>
      </c>
      <c r="G18" s="46"/>
      <c r="H18" s="18"/>
      <c r="I18" s="47">
        <f>I17+1</f>
        <v>12</v>
      </c>
      <c r="J18" s="143"/>
      <c r="K18" s="74">
        <f t="shared" si="0"/>
        <v>14</v>
      </c>
      <c r="L18">
        <v>15</v>
      </c>
      <c r="M18" s="150" t="s">
        <v>68</v>
      </c>
      <c r="N18" s="151" t="s">
        <v>25</v>
      </c>
      <c r="O18" s="165">
        <v>80</v>
      </c>
      <c r="P18" s="165">
        <v>74</v>
      </c>
      <c r="Q18" s="164">
        <f t="shared" si="1"/>
        <v>75</v>
      </c>
      <c r="R18" s="165"/>
      <c r="S18" s="165">
        <f t="shared" si="3"/>
        <v>229</v>
      </c>
      <c r="V18">
        <v>39</v>
      </c>
      <c r="W18" t="s">
        <v>114</v>
      </c>
      <c r="X18" t="s">
        <v>34</v>
      </c>
      <c r="Y18">
        <v>75</v>
      </c>
      <c r="Z18">
        <v>76</v>
      </c>
      <c r="AA18">
        <v>81</v>
      </c>
      <c r="AB18">
        <v>21</v>
      </c>
    </row>
    <row r="19" spans="4:28" ht="17.25" x14ac:dyDescent="0.25">
      <c r="D19" s="77">
        <f>IF(F19="","",D16+2)</f>
        <v>11</v>
      </c>
      <c r="E19" s="34">
        <f>IF(D19="","",E16+$A$3/60/24)</f>
        <v>0.32291666666666657</v>
      </c>
      <c r="F19" s="48">
        <f>MAX(F22:F24)+1</f>
        <v>10</v>
      </c>
      <c r="G19" s="77">
        <f>IF(I19="","",G16+2)</f>
        <v>12</v>
      </c>
      <c r="H19" s="34">
        <f>IF(G19="","",H16+$A$3/60/24)</f>
        <v>0.32291666666666657</v>
      </c>
      <c r="I19" s="48">
        <f>MAX(I22:I24)+1</f>
        <v>7</v>
      </c>
      <c r="J19" s="53"/>
      <c r="K19" s="74">
        <f t="shared" si="0"/>
        <v>12</v>
      </c>
      <c r="L19" s="86">
        <v>16</v>
      </c>
      <c r="M19" s="150" t="s">
        <v>29</v>
      </c>
      <c r="N19" s="151" t="s">
        <v>25</v>
      </c>
      <c r="O19" s="165">
        <v>75</v>
      </c>
      <c r="P19" s="165">
        <v>74</v>
      </c>
      <c r="Q19" s="164">
        <f t="shared" si="1"/>
        <v>76</v>
      </c>
      <c r="R19" s="165"/>
      <c r="S19" s="165">
        <f t="shared" si="3"/>
        <v>225</v>
      </c>
      <c r="V19">
        <v>13</v>
      </c>
      <c r="W19" t="s">
        <v>124</v>
      </c>
      <c r="X19" t="s">
        <v>25</v>
      </c>
      <c r="Y19">
        <v>77</v>
      </c>
      <c r="Z19">
        <v>75</v>
      </c>
      <c r="AA19">
        <v>79</v>
      </c>
      <c r="AB19">
        <v>20</v>
      </c>
    </row>
    <row r="20" spans="4:28" ht="17.25" x14ac:dyDescent="0.25">
      <c r="D20" s="44"/>
      <c r="E20" s="18"/>
      <c r="F20" s="45">
        <f>F19+1</f>
        <v>11</v>
      </c>
      <c r="G20" s="44"/>
      <c r="H20" s="18"/>
      <c r="I20" s="45">
        <f>I19+1</f>
        <v>8</v>
      </c>
      <c r="J20" s="53"/>
      <c r="K20" s="74">
        <f t="shared" si="0"/>
        <v>33</v>
      </c>
      <c r="L20">
        <v>17</v>
      </c>
      <c r="M20" s="150" t="s">
        <v>69</v>
      </c>
      <c r="N20" s="151" t="s">
        <v>70</v>
      </c>
      <c r="O20" s="165">
        <v>77</v>
      </c>
      <c r="P20" s="165">
        <v>79</v>
      </c>
      <c r="Q20" s="164">
        <f t="shared" si="1"/>
        <v>84</v>
      </c>
      <c r="R20" s="165"/>
      <c r="S20" s="165">
        <f t="shared" si="3"/>
        <v>240</v>
      </c>
      <c r="V20">
        <v>7</v>
      </c>
      <c r="W20" t="s">
        <v>125</v>
      </c>
      <c r="X20" t="s">
        <v>25</v>
      </c>
      <c r="Y20">
        <v>74</v>
      </c>
      <c r="Z20">
        <v>79</v>
      </c>
      <c r="AA20">
        <v>86</v>
      </c>
      <c r="AB20">
        <v>30</v>
      </c>
    </row>
    <row r="21" spans="4:28" ht="17.25" x14ac:dyDescent="0.25">
      <c r="D21" s="46"/>
      <c r="E21" s="26"/>
      <c r="F21" s="47">
        <f>F20+1</f>
        <v>12</v>
      </c>
      <c r="G21" s="46"/>
      <c r="H21" s="26"/>
      <c r="I21" s="47">
        <f>I20+1</f>
        <v>9</v>
      </c>
      <c r="J21" s="53"/>
      <c r="K21" s="74">
        <f t="shared" si="0"/>
        <v>34</v>
      </c>
      <c r="L21" s="86">
        <v>18</v>
      </c>
      <c r="M21" s="150" t="s">
        <v>26</v>
      </c>
      <c r="N21" s="151" t="s">
        <v>25</v>
      </c>
      <c r="O21" s="165">
        <v>82</v>
      </c>
      <c r="P21" s="165">
        <v>77</v>
      </c>
      <c r="Q21" s="164">
        <f t="shared" si="1"/>
        <v>82</v>
      </c>
      <c r="R21" s="165"/>
      <c r="S21" s="165">
        <f t="shared" si="3"/>
        <v>241</v>
      </c>
      <c r="V21">
        <v>33</v>
      </c>
      <c r="W21" t="s">
        <v>126</v>
      </c>
      <c r="X21" t="s">
        <v>25</v>
      </c>
      <c r="Y21">
        <v>73</v>
      </c>
      <c r="Z21">
        <v>80</v>
      </c>
      <c r="AA21">
        <v>86</v>
      </c>
      <c r="AB21">
        <v>29</v>
      </c>
    </row>
    <row r="22" spans="4:28" ht="17.25" x14ac:dyDescent="0.25">
      <c r="D22" s="77">
        <f>IF(F22="","",D19+2)</f>
        <v>13</v>
      </c>
      <c r="E22" s="34">
        <f>IF(D22="","",E19+$A$3/60/24)</f>
        <v>0.32916666666666655</v>
      </c>
      <c r="F22" s="48">
        <f>MAX(F25:F27)+1</f>
        <v>7</v>
      </c>
      <c r="G22" s="77">
        <f>IF(I22="","",G19+2)</f>
        <v>14</v>
      </c>
      <c r="H22" s="34">
        <f>IF(G22="","",H19+$A$3/60/24)</f>
        <v>0.32916666666666655</v>
      </c>
      <c r="I22" s="48">
        <f>MAX(I25:I27)+1</f>
        <v>4</v>
      </c>
      <c r="J22" s="53"/>
      <c r="K22" s="74">
        <f t="shared" si="0"/>
        <v>23</v>
      </c>
      <c r="L22">
        <v>19</v>
      </c>
      <c r="M22" s="150" t="s">
        <v>27</v>
      </c>
      <c r="N22" s="150" t="s">
        <v>25</v>
      </c>
      <c r="O22" s="165">
        <v>82</v>
      </c>
      <c r="P22" s="165">
        <v>73</v>
      </c>
      <c r="Q22" s="164">
        <f t="shared" si="1"/>
        <v>78</v>
      </c>
      <c r="R22" s="165"/>
      <c r="S22" s="165">
        <f t="shared" si="3"/>
        <v>233</v>
      </c>
      <c r="V22">
        <v>55</v>
      </c>
      <c r="W22" t="s">
        <v>127</v>
      </c>
      <c r="X22" t="s">
        <v>25</v>
      </c>
      <c r="Y22">
        <v>75</v>
      </c>
      <c r="Z22">
        <v>78</v>
      </c>
      <c r="AA22">
        <v>77</v>
      </c>
      <c r="AB22">
        <v>17</v>
      </c>
    </row>
    <row r="23" spans="4:28" ht="17.25" x14ac:dyDescent="0.25">
      <c r="D23" s="44"/>
      <c r="E23" s="18"/>
      <c r="F23" s="45">
        <f>F22+1</f>
        <v>8</v>
      </c>
      <c r="G23" s="44"/>
      <c r="H23" s="18"/>
      <c r="I23" s="45">
        <f>I22+1</f>
        <v>5</v>
      </c>
      <c r="J23" s="53"/>
      <c r="K23" s="74" t="str">
        <f t="shared" si="0"/>
        <v/>
      </c>
      <c r="L23" s="86">
        <v>20</v>
      </c>
      <c r="M23" s="150" t="s">
        <v>71</v>
      </c>
      <c r="N23" s="150" t="s">
        <v>70</v>
      </c>
      <c r="O23" s="165">
        <v>86</v>
      </c>
      <c r="P23" s="165">
        <v>0</v>
      </c>
      <c r="Q23" s="164" t="str">
        <f t="shared" si="1"/>
        <v/>
      </c>
      <c r="R23" s="165"/>
      <c r="S23" s="165">
        <f t="shared" si="3"/>
        <v>86</v>
      </c>
      <c r="V23">
        <v>15</v>
      </c>
      <c r="W23" t="s">
        <v>128</v>
      </c>
      <c r="X23" t="s">
        <v>25</v>
      </c>
      <c r="Y23">
        <v>80</v>
      </c>
      <c r="Z23">
        <v>74</v>
      </c>
      <c r="AA23">
        <v>75</v>
      </c>
      <c r="AB23">
        <v>14</v>
      </c>
    </row>
    <row r="24" spans="4:28" ht="17.25" x14ac:dyDescent="0.25">
      <c r="D24" s="46"/>
      <c r="E24" s="18"/>
      <c r="F24" s="47">
        <f>F23+1</f>
        <v>9</v>
      </c>
      <c r="G24" s="46"/>
      <c r="H24" s="18"/>
      <c r="I24" s="47">
        <f>I23+1</f>
        <v>6</v>
      </c>
      <c r="J24" s="53"/>
      <c r="K24" s="74" t="str">
        <f t="shared" si="0"/>
        <v/>
      </c>
      <c r="L24">
        <v>21</v>
      </c>
      <c r="M24" s="150" t="s">
        <v>72</v>
      </c>
      <c r="N24" s="150" t="s">
        <v>25</v>
      </c>
      <c r="O24" s="165">
        <v>83</v>
      </c>
      <c r="P24" s="165">
        <v>81</v>
      </c>
      <c r="Q24" s="164" t="str">
        <f t="shared" si="1"/>
        <v/>
      </c>
      <c r="R24" s="165"/>
      <c r="S24" s="165">
        <f t="shared" si="3"/>
        <v>164</v>
      </c>
      <c r="V24">
        <v>36</v>
      </c>
      <c r="W24" t="s">
        <v>115</v>
      </c>
      <c r="X24" t="s">
        <v>34</v>
      </c>
      <c r="Y24">
        <v>77</v>
      </c>
      <c r="Z24">
        <v>77</v>
      </c>
      <c r="AA24">
        <v>76</v>
      </c>
      <c r="AB24">
        <v>16</v>
      </c>
    </row>
    <row r="25" spans="4:28" ht="17.25" x14ac:dyDescent="0.25">
      <c r="D25" s="77">
        <f>IF(F25="","",D22+2)</f>
        <v>15</v>
      </c>
      <c r="E25" s="34">
        <f>IF(D25="","",E22+$A$3/60/24)</f>
        <v>0.33541666666666653</v>
      </c>
      <c r="F25" s="48">
        <f>MAX(F28:F30)+1</f>
        <v>4</v>
      </c>
      <c r="G25" s="77">
        <f>IF(I25="","",G22+2)</f>
        <v>16</v>
      </c>
      <c r="H25" s="34">
        <f>IF(G25="","",H22+$A$3/60/24)</f>
        <v>0.33541666666666653</v>
      </c>
      <c r="I25" s="48">
        <f>MAX(I28:I30)+1</f>
        <v>1</v>
      </c>
      <c r="J25" s="53"/>
      <c r="K25" s="74" t="str">
        <f t="shared" si="0"/>
        <v/>
      </c>
      <c r="L25" s="86">
        <v>22</v>
      </c>
      <c r="M25" s="150" t="s">
        <v>39</v>
      </c>
      <c r="N25" s="150" t="s">
        <v>54</v>
      </c>
      <c r="O25" s="165">
        <v>81</v>
      </c>
      <c r="P25" s="165">
        <v>79</v>
      </c>
      <c r="Q25" s="164" t="str">
        <f t="shared" si="1"/>
        <v/>
      </c>
      <c r="R25" s="165"/>
      <c r="S25" s="165">
        <f t="shared" si="3"/>
        <v>160</v>
      </c>
      <c r="V25">
        <v>2</v>
      </c>
      <c r="W25" t="s">
        <v>60</v>
      </c>
      <c r="X25" t="s">
        <v>54</v>
      </c>
      <c r="Y25">
        <v>77</v>
      </c>
      <c r="Z25">
        <v>78</v>
      </c>
      <c r="AA25">
        <v>76</v>
      </c>
      <c r="AB25">
        <v>19</v>
      </c>
    </row>
    <row r="26" spans="4:28" ht="17.25" x14ac:dyDescent="0.25">
      <c r="D26" s="44"/>
      <c r="E26" s="18"/>
      <c r="F26" s="45">
        <f>F25+1</f>
        <v>5</v>
      </c>
      <c r="G26" s="44"/>
      <c r="H26" s="18"/>
      <c r="I26" s="45">
        <f>I25+1</f>
        <v>2</v>
      </c>
      <c r="J26" s="53"/>
      <c r="K26" s="74">
        <f t="shared" si="0"/>
        <v>7</v>
      </c>
      <c r="L26">
        <v>23</v>
      </c>
      <c r="M26" s="150" t="s">
        <v>73</v>
      </c>
      <c r="N26" s="150" t="s">
        <v>74</v>
      </c>
      <c r="O26" s="165">
        <v>72</v>
      </c>
      <c r="P26" s="165">
        <v>71</v>
      </c>
      <c r="Q26" s="164">
        <f t="shared" si="1"/>
        <v>76</v>
      </c>
      <c r="R26" s="165"/>
      <c r="S26" s="165">
        <f t="shared" si="3"/>
        <v>219</v>
      </c>
      <c r="V26">
        <v>19</v>
      </c>
      <c r="W26" t="s">
        <v>129</v>
      </c>
      <c r="X26" t="s">
        <v>25</v>
      </c>
      <c r="Y26">
        <v>82</v>
      </c>
      <c r="Z26">
        <v>73</v>
      </c>
      <c r="AA26">
        <v>78</v>
      </c>
      <c r="AB26">
        <v>23</v>
      </c>
    </row>
    <row r="27" spans="4:28" ht="17.25" x14ac:dyDescent="0.25">
      <c r="D27" s="46"/>
      <c r="E27" s="26"/>
      <c r="F27" s="47">
        <f>F26+1</f>
        <v>6</v>
      </c>
      <c r="G27" s="46"/>
      <c r="H27" s="26"/>
      <c r="I27" s="47">
        <f>I26+1</f>
        <v>3</v>
      </c>
      <c r="J27" s="53"/>
      <c r="K27" s="74">
        <f t="shared" si="0"/>
        <v>35</v>
      </c>
      <c r="L27" s="86">
        <v>24</v>
      </c>
      <c r="M27" s="150" t="s">
        <v>75</v>
      </c>
      <c r="N27" s="150" t="s">
        <v>25</v>
      </c>
      <c r="O27" s="165">
        <v>80</v>
      </c>
      <c r="P27" s="165">
        <v>78</v>
      </c>
      <c r="Q27" s="164">
        <f t="shared" si="1"/>
        <v>92</v>
      </c>
      <c r="R27" s="165"/>
      <c r="S27" s="165">
        <f t="shared" si="3"/>
        <v>250</v>
      </c>
      <c r="V27">
        <v>41</v>
      </c>
      <c r="W27" t="s">
        <v>130</v>
      </c>
      <c r="X27" t="s">
        <v>25</v>
      </c>
      <c r="Y27">
        <v>81</v>
      </c>
      <c r="Z27">
        <v>74</v>
      </c>
      <c r="AA27">
        <v>76</v>
      </c>
      <c r="AB27">
        <v>18</v>
      </c>
    </row>
    <row r="28" spans="4:28" ht="17.25" x14ac:dyDescent="0.25">
      <c r="D28" s="77">
        <f>IF(F28="","",D25+2)</f>
        <v>17</v>
      </c>
      <c r="E28" s="34">
        <f>IF(D28="","",E25+$A$3/60/24)</f>
        <v>0.34166666666666651</v>
      </c>
      <c r="F28" s="48">
        <v>1</v>
      </c>
      <c r="G28" s="77"/>
      <c r="H28" s="34"/>
      <c r="I28" s="48"/>
      <c r="J28" s="53"/>
      <c r="K28" s="74">
        <f t="shared" si="0"/>
        <v>10</v>
      </c>
      <c r="L28">
        <v>25</v>
      </c>
      <c r="M28" s="150" t="s">
        <v>76</v>
      </c>
      <c r="N28" s="150" t="s">
        <v>54</v>
      </c>
      <c r="O28" s="165">
        <v>73</v>
      </c>
      <c r="P28" s="165">
        <v>71</v>
      </c>
      <c r="Q28" s="164">
        <f t="shared" si="1"/>
        <v>79</v>
      </c>
      <c r="R28" s="165"/>
      <c r="S28" s="165">
        <f t="shared" si="3"/>
        <v>223</v>
      </c>
      <c r="V28">
        <v>12</v>
      </c>
      <c r="W28" t="s">
        <v>131</v>
      </c>
      <c r="X28" t="s">
        <v>25</v>
      </c>
      <c r="Y28">
        <v>77</v>
      </c>
      <c r="Z28">
        <v>79</v>
      </c>
      <c r="AA28">
        <v>0</v>
      </c>
      <c r="AB28">
        <v>36</v>
      </c>
    </row>
    <row r="29" spans="4:28" ht="17.25" x14ac:dyDescent="0.25">
      <c r="D29" s="44"/>
      <c r="E29" s="18"/>
      <c r="F29" s="45">
        <f>F28+1</f>
        <v>2</v>
      </c>
      <c r="G29" s="44"/>
      <c r="H29" s="18"/>
      <c r="I29" s="45"/>
      <c r="J29" s="53"/>
      <c r="K29" s="74">
        <f t="shared" si="0"/>
        <v>1</v>
      </c>
      <c r="L29" s="86">
        <v>26</v>
      </c>
      <c r="M29" s="150" t="s">
        <v>77</v>
      </c>
      <c r="N29" s="150" t="s">
        <v>74</v>
      </c>
      <c r="O29" s="165">
        <v>70</v>
      </c>
      <c r="P29" s="165">
        <v>72</v>
      </c>
      <c r="Q29" s="164">
        <f t="shared" si="1"/>
        <v>69</v>
      </c>
      <c r="R29" s="165"/>
      <c r="S29" s="165">
        <f t="shared" si="3"/>
        <v>211</v>
      </c>
      <c r="V29">
        <v>17</v>
      </c>
      <c r="W29" t="s">
        <v>69</v>
      </c>
      <c r="X29" t="s">
        <v>70</v>
      </c>
      <c r="Y29">
        <v>77</v>
      </c>
      <c r="Z29">
        <v>79</v>
      </c>
      <c r="AA29">
        <v>84</v>
      </c>
      <c r="AB29">
        <v>33</v>
      </c>
    </row>
    <row r="30" spans="4:28" ht="17.25" x14ac:dyDescent="0.25">
      <c r="D30" s="46"/>
      <c r="E30" s="18"/>
      <c r="F30" s="47">
        <f>F29+1</f>
        <v>3</v>
      </c>
      <c r="G30" s="46"/>
      <c r="H30" s="18"/>
      <c r="I30" s="47"/>
      <c r="J30" s="53"/>
      <c r="K30" s="74">
        <f t="shared" si="0"/>
        <v>26</v>
      </c>
      <c r="L30">
        <v>27</v>
      </c>
      <c r="M30" s="150" t="s">
        <v>41</v>
      </c>
      <c r="N30" s="150" t="s">
        <v>25</v>
      </c>
      <c r="O30" s="165">
        <v>80</v>
      </c>
      <c r="P30" s="165">
        <v>78</v>
      </c>
      <c r="Q30" s="164">
        <f t="shared" si="1"/>
        <v>79</v>
      </c>
      <c r="R30" s="165"/>
      <c r="S30" s="165">
        <f t="shared" si="3"/>
        <v>237</v>
      </c>
      <c r="V30">
        <v>29</v>
      </c>
      <c r="W30" t="s">
        <v>78</v>
      </c>
      <c r="X30" t="s">
        <v>35</v>
      </c>
      <c r="Y30">
        <v>81</v>
      </c>
      <c r="Z30">
        <v>76</v>
      </c>
      <c r="AA30">
        <v>82</v>
      </c>
      <c r="AB30">
        <v>28</v>
      </c>
    </row>
    <row r="31" spans="4:28" ht="17.25" x14ac:dyDescent="0.25">
      <c r="D31" s="77" t="str">
        <f>IF(F31="","",D28+2)</f>
        <v/>
      </c>
      <c r="E31" s="34" t="str">
        <f>IF(D31="","",E28+$A$3/60/24)</f>
        <v/>
      </c>
      <c r="F31" s="48"/>
      <c r="G31" s="77" t="str">
        <f>IF(I31="","",G28+2)</f>
        <v/>
      </c>
      <c r="H31" s="34" t="str">
        <f>IF(G31="","",H28+$A$3/60/24)</f>
        <v/>
      </c>
      <c r="I31" s="48"/>
      <c r="J31" s="53"/>
      <c r="K31" s="74">
        <f t="shared" si="0"/>
        <v>6</v>
      </c>
      <c r="L31" s="86">
        <v>28</v>
      </c>
      <c r="M31" s="150" t="s">
        <v>36</v>
      </c>
      <c r="N31" s="150" t="s">
        <v>37</v>
      </c>
      <c r="O31" s="165">
        <v>72</v>
      </c>
      <c r="P31" s="165">
        <v>74</v>
      </c>
      <c r="Q31" s="164">
        <f t="shared" si="1"/>
        <v>73</v>
      </c>
      <c r="R31" s="165"/>
      <c r="S31" s="165">
        <f t="shared" si="3"/>
        <v>219</v>
      </c>
      <c r="V31">
        <v>30</v>
      </c>
      <c r="W31" t="s">
        <v>132</v>
      </c>
      <c r="X31" t="s">
        <v>25</v>
      </c>
      <c r="Y31">
        <v>79</v>
      </c>
      <c r="Z31">
        <v>78</v>
      </c>
      <c r="AA31">
        <v>81</v>
      </c>
      <c r="AB31">
        <v>27</v>
      </c>
    </row>
    <row r="32" spans="4:28" ht="17.25" x14ac:dyDescent="0.25">
      <c r="D32" s="44"/>
      <c r="E32" s="18"/>
      <c r="F32" s="45"/>
      <c r="G32" s="44"/>
      <c r="H32" s="18"/>
      <c r="I32" s="45"/>
      <c r="J32" s="53"/>
      <c r="K32" s="74">
        <f t="shared" si="0"/>
        <v>28</v>
      </c>
      <c r="L32">
        <v>29</v>
      </c>
      <c r="M32" s="150" t="s">
        <v>78</v>
      </c>
      <c r="N32" s="150" t="s">
        <v>35</v>
      </c>
      <c r="O32" s="165">
        <v>81</v>
      </c>
      <c r="P32" s="165">
        <v>76</v>
      </c>
      <c r="Q32" s="164">
        <f t="shared" si="1"/>
        <v>82</v>
      </c>
      <c r="R32" s="165"/>
      <c r="S32" s="165">
        <f t="shared" si="3"/>
        <v>239</v>
      </c>
      <c r="V32">
        <v>42</v>
      </c>
      <c r="W32" t="s">
        <v>133</v>
      </c>
      <c r="X32" t="s">
        <v>25</v>
      </c>
      <c r="Y32">
        <v>79</v>
      </c>
      <c r="Z32">
        <v>78</v>
      </c>
      <c r="AA32">
        <v>79</v>
      </c>
      <c r="AB32">
        <v>24</v>
      </c>
    </row>
    <row r="33" spans="4:28" ht="17.25" x14ac:dyDescent="0.25">
      <c r="D33" s="46"/>
      <c r="E33" s="26"/>
      <c r="F33" s="47"/>
      <c r="G33" s="46"/>
      <c r="H33" s="26"/>
      <c r="I33" s="45"/>
      <c r="J33" s="53"/>
      <c r="K33" s="74">
        <f t="shared" si="0"/>
        <v>27</v>
      </c>
      <c r="L33" s="86">
        <v>30</v>
      </c>
      <c r="M33" s="149" t="s">
        <v>32</v>
      </c>
      <c r="N33" s="150" t="s">
        <v>25</v>
      </c>
      <c r="O33" s="165">
        <v>79</v>
      </c>
      <c r="P33" s="165">
        <v>78</v>
      </c>
      <c r="Q33" s="164">
        <f t="shared" si="1"/>
        <v>81</v>
      </c>
      <c r="R33" s="165"/>
      <c r="S33" s="165">
        <f t="shared" si="3"/>
        <v>238</v>
      </c>
      <c r="V33">
        <v>48</v>
      </c>
      <c r="W33" t="s">
        <v>134</v>
      </c>
      <c r="X33" t="s">
        <v>25</v>
      </c>
      <c r="Y33">
        <v>82</v>
      </c>
      <c r="Z33">
        <v>75</v>
      </c>
      <c r="AA33">
        <v>79</v>
      </c>
      <c r="AB33">
        <v>25</v>
      </c>
    </row>
    <row r="34" spans="4:28" ht="17.25" x14ac:dyDescent="0.25">
      <c r="D34" s="77" t="str">
        <f>IF(F34="","",D31+2)</f>
        <v/>
      </c>
      <c r="E34" s="34" t="str">
        <f>IF(D34="","",E31+$A$3/60/24)</f>
        <v/>
      </c>
      <c r="F34" s="48"/>
      <c r="G34" s="77" t="str">
        <f>IF(I34="","",G31+2)</f>
        <v/>
      </c>
      <c r="H34" s="34" t="str">
        <f>IF(G34="","",H31+$A$3/60/24)</f>
        <v/>
      </c>
      <c r="I34" s="48"/>
      <c r="J34" s="53"/>
      <c r="K34" s="74">
        <f t="shared" si="0"/>
        <v>5</v>
      </c>
      <c r="L34">
        <v>31</v>
      </c>
      <c r="M34" s="149" t="s">
        <v>38</v>
      </c>
      <c r="N34" s="150" t="s">
        <v>37</v>
      </c>
      <c r="O34" s="165">
        <v>78</v>
      </c>
      <c r="P34" s="165">
        <v>69</v>
      </c>
      <c r="Q34" s="164">
        <f t="shared" si="1"/>
        <v>70</v>
      </c>
      <c r="R34" s="165"/>
      <c r="S34" s="165">
        <f t="shared" si="3"/>
        <v>217</v>
      </c>
      <c r="V34">
        <v>6</v>
      </c>
      <c r="W34" t="s">
        <v>135</v>
      </c>
      <c r="X34" t="s">
        <v>25</v>
      </c>
      <c r="Y34">
        <v>78</v>
      </c>
      <c r="Z34">
        <v>80</v>
      </c>
      <c r="AA34">
        <v>72</v>
      </c>
      <c r="AB34">
        <v>15</v>
      </c>
    </row>
    <row r="35" spans="4:28" ht="17.25" x14ac:dyDescent="0.25">
      <c r="D35" s="44"/>
      <c r="E35" s="18"/>
      <c r="F35" s="45"/>
      <c r="G35" s="44"/>
      <c r="H35" s="18"/>
      <c r="I35" s="45"/>
      <c r="J35" s="53"/>
      <c r="K35" s="74">
        <f t="shared" si="0"/>
        <v>3</v>
      </c>
      <c r="L35" s="86">
        <v>32</v>
      </c>
      <c r="M35" s="149" t="s">
        <v>79</v>
      </c>
      <c r="N35" s="150" t="s">
        <v>35</v>
      </c>
      <c r="O35" s="165">
        <v>71</v>
      </c>
      <c r="P35" s="165">
        <v>72</v>
      </c>
      <c r="Q35" s="164">
        <f t="shared" si="1"/>
        <v>73</v>
      </c>
      <c r="R35" s="165"/>
      <c r="S35" s="165">
        <f t="shared" si="3"/>
        <v>216</v>
      </c>
      <c r="V35">
        <v>24</v>
      </c>
      <c r="W35" t="s">
        <v>136</v>
      </c>
      <c r="X35" t="s">
        <v>25</v>
      </c>
      <c r="Y35">
        <v>80</v>
      </c>
      <c r="Z35">
        <v>78</v>
      </c>
      <c r="AA35">
        <v>92</v>
      </c>
      <c r="AB35">
        <v>35</v>
      </c>
    </row>
    <row r="36" spans="4:28" ht="17.25" x14ac:dyDescent="0.25">
      <c r="D36" s="46"/>
      <c r="E36" s="18"/>
      <c r="F36" s="47"/>
      <c r="G36" s="46"/>
      <c r="H36" s="18"/>
      <c r="I36" s="47"/>
      <c r="J36" s="53"/>
      <c r="K36" s="74">
        <f t="shared" ref="K36:K67" si="4">IF(ISNA(VLOOKUP(L36,$V$4:$AB$55,7,FALSE)),"",VLOOKUP(L36,$V$4:$AB$55,7,FALSE))</f>
        <v>29</v>
      </c>
      <c r="L36">
        <v>33</v>
      </c>
      <c r="M36" s="149" t="s">
        <v>80</v>
      </c>
      <c r="N36" s="150" t="s">
        <v>25</v>
      </c>
      <c r="O36" s="165">
        <v>73</v>
      </c>
      <c r="P36" s="165">
        <v>80</v>
      </c>
      <c r="Q36" s="164">
        <f t="shared" ref="Q36:Q67" si="5">IF(ISNA(VLOOKUP(L36,$V$4:$AB$55,6,FALSE)),"",VLOOKUP(L36,$V$4:$AB$55,6,FALSE))</f>
        <v>86</v>
      </c>
      <c r="R36" s="165"/>
      <c r="S36" s="165">
        <f t="shared" si="3"/>
        <v>239</v>
      </c>
      <c r="V36">
        <v>27</v>
      </c>
      <c r="W36" t="s">
        <v>137</v>
      </c>
      <c r="X36" t="s">
        <v>25</v>
      </c>
      <c r="Y36">
        <v>80</v>
      </c>
      <c r="Z36">
        <v>78</v>
      </c>
      <c r="AA36">
        <v>79</v>
      </c>
      <c r="AB36">
        <v>26</v>
      </c>
    </row>
    <row r="37" spans="4:28" ht="17.25" x14ac:dyDescent="0.25">
      <c r="D37" s="77"/>
      <c r="E37" s="34"/>
      <c r="F37" s="48"/>
      <c r="G37" s="77" t="str">
        <f>IF(I37="","",G34+2)</f>
        <v/>
      </c>
      <c r="H37" s="34" t="str">
        <f>IF(G37="","",H34+$A$3/60/24)</f>
        <v/>
      </c>
      <c r="I37" s="48"/>
      <c r="J37" s="53"/>
      <c r="K37" s="74">
        <f t="shared" si="4"/>
        <v>4</v>
      </c>
      <c r="L37" s="86">
        <v>34</v>
      </c>
      <c r="M37" s="149" t="s">
        <v>81</v>
      </c>
      <c r="N37" s="150" t="s">
        <v>82</v>
      </c>
      <c r="O37" s="165">
        <v>75</v>
      </c>
      <c r="P37" s="165">
        <v>66</v>
      </c>
      <c r="Q37" s="164">
        <f t="shared" si="5"/>
        <v>75</v>
      </c>
      <c r="R37" s="165"/>
      <c r="S37" s="165">
        <f t="shared" si="3"/>
        <v>216</v>
      </c>
      <c r="V37">
        <v>50</v>
      </c>
      <c r="W37" t="s">
        <v>148</v>
      </c>
      <c r="X37" t="s">
        <v>25</v>
      </c>
      <c r="Y37">
        <v>73</v>
      </c>
      <c r="Z37">
        <v>85</v>
      </c>
      <c r="AA37">
        <v>82</v>
      </c>
      <c r="AB37">
        <v>32</v>
      </c>
    </row>
    <row r="38" spans="4:28" ht="17.25" x14ac:dyDescent="0.25">
      <c r="D38" s="44"/>
      <c r="E38" s="18"/>
      <c r="F38" s="45"/>
      <c r="G38" s="44"/>
      <c r="H38" s="18"/>
      <c r="I38" s="45"/>
      <c r="J38" s="53"/>
      <c r="K38" s="74">
        <f t="shared" si="4"/>
        <v>11</v>
      </c>
      <c r="L38">
        <v>35</v>
      </c>
      <c r="M38" s="149" t="s">
        <v>83</v>
      </c>
      <c r="N38" s="150" t="s">
        <v>25</v>
      </c>
      <c r="O38" s="165">
        <v>71</v>
      </c>
      <c r="P38" s="165">
        <v>71</v>
      </c>
      <c r="Q38" s="164">
        <f t="shared" si="5"/>
        <v>82</v>
      </c>
      <c r="R38" s="165"/>
      <c r="S38" s="165">
        <f t="shared" si="3"/>
        <v>224</v>
      </c>
      <c r="V38">
        <v>11</v>
      </c>
      <c r="W38" t="s">
        <v>65</v>
      </c>
      <c r="X38" t="s">
        <v>54</v>
      </c>
      <c r="Y38">
        <v>76</v>
      </c>
      <c r="Z38">
        <v>83</v>
      </c>
      <c r="AA38">
        <v>81</v>
      </c>
      <c r="AB38">
        <v>31</v>
      </c>
    </row>
    <row r="39" spans="4:28" ht="17.25" x14ac:dyDescent="0.25">
      <c r="D39" s="46"/>
      <c r="E39" s="26"/>
      <c r="F39" s="47"/>
      <c r="G39" s="46"/>
      <c r="H39" s="26"/>
      <c r="I39" s="47"/>
      <c r="J39" s="53"/>
      <c r="K39" s="74">
        <f t="shared" si="4"/>
        <v>16</v>
      </c>
      <c r="L39" s="86">
        <v>36</v>
      </c>
      <c r="M39" s="149" t="s">
        <v>115</v>
      </c>
      <c r="N39" s="150" t="s">
        <v>34</v>
      </c>
      <c r="O39" s="165">
        <v>77</v>
      </c>
      <c r="P39" s="165">
        <v>77</v>
      </c>
      <c r="Q39" s="164">
        <f t="shared" si="5"/>
        <v>76</v>
      </c>
      <c r="R39" s="165"/>
      <c r="S39" s="165">
        <f t="shared" si="3"/>
        <v>230</v>
      </c>
      <c r="V39">
        <v>18</v>
      </c>
      <c r="W39" t="s">
        <v>138</v>
      </c>
      <c r="X39" t="s">
        <v>25</v>
      </c>
      <c r="Y39">
        <v>82</v>
      </c>
      <c r="Z39">
        <v>77</v>
      </c>
      <c r="AA39">
        <v>82</v>
      </c>
      <c r="AB39">
        <v>34</v>
      </c>
    </row>
    <row r="40" spans="4:28" ht="17.25" x14ac:dyDescent="0.25">
      <c r="D40" s="77"/>
      <c r="E40" s="34"/>
      <c r="F40" s="48"/>
      <c r="G40" s="77" t="str">
        <f>IF(I40="","",G37+2)</f>
        <v/>
      </c>
      <c r="H40" s="34" t="str">
        <f>IF(G40="","",H37+$A$3/60/24)</f>
        <v/>
      </c>
      <c r="I40" s="48"/>
      <c r="J40" s="53"/>
      <c r="K40" s="74">
        <f t="shared" si="4"/>
        <v>2</v>
      </c>
      <c r="L40">
        <v>37</v>
      </c>
      <c r="M40" s="149" t="s">
        <v>84</v>
      </c>
      <c r="N40" s="150" t="s">
        <v>82</v>
      </c>
      <c r="O40" s="165">
        <v>70</v>
      </c>
      <c r="P40" s="165">
        <v>70</v>
      </c>
      <c r="Q40" s="164">
        <f t="shared" si="5"/>
        <v>71</v>
      </c>
      <c r="R40" s="165"/>
      <c r="S40" s="165">
        <f t="shared" si="3"/>
        <v>211</v>
      </c>
    </row>
    <row r="41" spans="4:28" ht="17.25" x14ac:dyDescent="0.25">
      <c r="D41" s="44"/>
      <c r="E41" s="18"/>
      <c r="F41" s="45"/>
      <c r="G41" s="44"/>
      <c r="H41" s="18"/>
      <c r="I41" s="45"/>
      <c r="J41" s="53"/>
      <c r="K41" s="74">
        <f t="shared" si="4"/>
        <v>9</v>
      </c>
      <c r="L41" s="86">
        <v>38</v>
      </c>
      <c r="M41" s="149" t="s">
        <v>85</v>
      </c>
      <c r="N41" s="150" t="s">
        <v>25</v>
      </c>
      <c r="O41" s="165">
        <v>72</v>
      </c>
      <c r="P41" s="165">
        <v>69</v>
      </c>
      <c r="Q41" s="164">
        <f t="shared" si="5"/>
        <v>81</v>
      </c>
      <c r="R41" s="165"/>
      <c r="S41" s="165">
        <f t="shared" si="3"/>
        <v>222</v>
      </c>
      <c r="V41">
        <v>74</v>
      </c>
      <c r="W41" t="s">
        <v>139</v>
      </c>
      <c r="X41" t="s">
        <v>25</v>
      </c>
      <c r="Y41">
        <v>72</v>
      </c>
      <c r="Z41">
        <v>70</v>
      </c>
      <c r="AA41">
        <v>71</v>
      </c>
      <c r="AB41">
        <v>1</v>
      </c>
    </row>
    <row r="42" spans="4:28" ht="17.25" x14ac:dyDescent="0.25">
      <c r="D42" s="46"/>
      <c r="E42" s="18"/>
      <c r="F42" s="47"/>
      <c r="G42" s="46"/>
      <c r="H42" s="18"/>
      <c r="I42" s="47"/>
      <c r="J42" s="53"/>
      <c r="K42" s="74">
        <f t="shared" si="4"/>
        <v>21</v>
      </c>
      <c r="L42">
        <v>39</v>
      </c>
      <c r="M42" s="149" t="s">
        <v>114</v>
      </c>
      <c r="N42" s="150" t="s">
        <v>34</v>
      </c>
      <c r="O42" s="165">
        <v>75</v>
      </c>
      <c r="P42" s="165">
        <v>76</v>
      </c>
      <c r="Q42" s="164">
        <f t="shared" si="5"/>
        <v>81</v>
      </c>
      <c r="R42" s="165"/>
      <c r="S42" s="165">
        <f t="shared" si="3"/>
        <v>232</v>
      </c>
      <c r="V42">
        <v>77</v>
      </c>
      <c r="W42" t="s">
        <v>140</v>
      </c>
      <c r="X42" t="s">
        <v>25</v>
      </c>
      <c r="Y42">
        <v>72</v>
      </c>
      <c r="Z42">
        <v>70</v>
      </c>
      <c r="AA42">
        <v>75</v>
      </c>
      <c r="AB42">
        <v>2</v>
      </c>
    </row>
    <row r="43" spans="4:28" ht="17.25" x14ac:dyDescent="0.25">
      <c r="D43" s="77"/>
      <c r="E43" s="34"/>
      <c r="F43" s="48"/>
      <c r="G43" s="77" t="str">
        <f>IF(I43="","",G40+2)</f>
        <v/>
      </c>
      <c r="H43" s="34" t="str">
        <f>IF(G43="","",H40+$A$3/60/24)</f>
        <v/>
      </c>
      <c r="I43" s="48"/>
      <c r="J43" s="53"/>
      <c r="K43" s="74" t="str">
        <f t="shared" si="4"/>
        <v/>
      </c>
      <c r="L43" s="86">
        <v>40</v>
      </c>
      <c r="M43" s="149" t="s">
        <v>86</v>
      </c>
      <c r="N43" s="150" t="s">
        <v>25</v>
      </c>
      <c r="O43" s="165">
        <v>85</v>
      </c>
      <c r="P43" s="165">
        <v>84</v>
      </c>
      <c r="Q43" s="164" t="str">
        <f t="shared" si="5"/>
        <v/>
      </c>
      <c r="R43" s="165"/>
      <c r="S43" s="165">
        <f t="shared" si="3"/>
        <v>169</v>
      </c>
      <c r="V43">
        <v>73</v>
      </c>
      <c r="W43" t="s">
        <v>110</v>
      </c>
      <c r="X43" t="s">
        <v>82</v>
      </c>
      <c r="Y43">
        <v>75</v>
      </c>
      <c r="Z43">
        <v>70</v>
      </c>
      <c r="AA43">
        <v>74</v>
      </c>
      <c r="AB43">
        <v>3</v>
      </c>
    </row>
    <row r="44" spans="4:28" ht="17.25" x14ac:dyDescent="0.25">
      <c r="D44" s="44"/>
      <c r="E44" s="18"/>
      <c r="F44" s="45"/>
      <c r="G44" s="44"/>
      <c r="H44" s="18"/>
      <c r="I44" s="45"/>
      <c r="J44" s="53"/>
      <c r="K44" s="74">
        <f t="shared" si="4"/>
        <v>18</v>
      </c>
      <c r="L44">
        <v>41</v>
      </c>
      <c r="M44" s="149" t="s">
        <v>87</v>
      </c>
      <c r="N44" s="150" t="s">
        <v>25</v>
      </c>
      <c r="O44" s="165">
        <v>81</v>
      </c>
      <c r="P44" s="165">
        <v>74</v>
      </c>
      <c r="Q44" s="164">
        <f t="shared" si="5"/>
        <v>76</v>
      </c>
      <c r="R44" s="165"/>
      <c r="S44" s="165">
        <f t="shared" si="3"/>
        <v>231</v>
      </c>
      <c r="V44">
        <v>60</v>
      </c>
      <c r="W44" t="s">
        <v>141</v>
      </c>
      <c r="X44" t="s">
        <v>25</v>
      </c>
      <c r="Y44">
        <v>73</v>
      </c>
      <c r="Z44">
        <v>76</v>
      </c>
      <c r="AA44">
        <v>80</v>
      </c>
      <c r="AB44">
        <v>8</v>
      </c>
    </row>
    <row r="45" spans="4:28" ht="17.25" x14ac:dyDescent="0.25">
      <c r="D45" s="46"/>
      <c r="E45" s="26"/>
      <c r="F45" s="47"/>
      <c r="G45" s="46"/>
      <c r="H45" s="26"/>
      <c r="I45" s="45"/>
      <c r="J45" s="53"/>
      <c r="K45" s="74">
        <f t="shared" si="4"/>
        <v>24</v>
      </c>
      <c r="L45" s="86">
        <v>42</v>
      </c>
      <c r="M45" s="149" t="s">
        <v>30</v>
      </c>
      <c r="N45" s="150" t="s">
        <v>25</v>
      </c>
      <c r="O45" s="165">
        <v>79</v>
      </c>
      <c r="P45" s="165">
        <v>78</v>
      </c>
      <c r="Q45" s="164">
        <f t="shared" si="5"/>
        <v>79</v>
      </c>
      <c r="R45" s="165"/>
      <c r="S45" s="165">
        <f t="shared" si="3"/>
        <v>236</v>
      </c>
      <c r="V45">
        <v>64</v>
      </c>
      <c r="W45" t="s">
        <v>142</v>
      </c>
      <c r="X45" t="s">
        <v>25</v>
      </c>
      <c r="Y45">
        <v>75</v>
      </c>
      <c r="Z45">
        <v>75</v>
      </c>
      <c r="AA45">
        <v>73</v>
      </c>
      <c r="AB45">
        <v>5</v>
      </c>
    </row>
    <row r="46" spans="4:28" ht="17.25" x14ac:dyDescent="0.25">
      <c r="D46" s="77"/>
      <c r="E46" s="34"/>
      <c r="F46" s="48"/>
      <c r="G46" s="77" t="str">
        <f>IF(I46="","",G43+2)</f>
        <v/>
      </c>
      <c r="H46" s="34" t="str">
        <f>IF(G46="","",H43+$A$3/60/24)</f>
        <v/>
      </c>
      <c r="I46" s="48"/>
      <c r="J46" s="53"/>
      <c r="K46" s="74">
        <f t="shared" si="4"/>
        <v>13</v>
      </c>
      <c r="L46">
        <v>43</v>
      </c>
      <c r="M46" s="149" t="s">
        <v>88</v>
      </c>
      <c r="N46" s="150" t="s">
        <v>25</v>
      </c>
      <c r="O46" s="165">
        <v>70</v>
      </c>
      <c r="P46" s="165">
        <v>80</v>
      </c>
      <c r="Q46" s="164">
        <f t="shared" si="5"/>
        <v>78</v>
      </c>
      <c r="R46" s="165"/>
      <c r="S46" s="165">
        <f t="shared" si="3"/>
        <v>228</v>
      </c>
      <c r="V46">
        <v>66</v>
      </c>
      <c r="W46" t="s">
        <v>143</v>
      </c>
      <c r="X46" t="s">
        <v>25</v>
      </c>
      <c r="Y46">
        <v>75</v>
      </c>
      <c r="Z46">
        <v>75</v>
      </c>
      <c r="AA46">
        <v>75</v>
      </c>
      <c r="AB46">
        <v>6</v>
      </c>
    </row>
    <row r="47" spans="4:28" ht="17.25" x14ac:dyDescent="0.25">
      <c r="D47" s="44"/>
      <c r="E47" s="18"/>
      <c r="F47" s="45"/>
      <c r="G47" s="44"/>
      <c r="H47" s="18"/>
      <c r="I47" s="45"/>
      <c r="J47" s="53"/>
      <c r="K47" s="74" t="str">
        <f t="shared" si="4"/>
        <v/>
      </c>
      <c r="L47" s="86">
        <v>44</v>
      </c>
      <c r="M47" s="149" t="s">
        <v>89</v>
      </c>
      <c r="N47" s="150" t="s">
        <v>25</v>
      </c>
      <c r="O47" s="165">
        <v>82</v>
      </c>
      <c r="P47" s="165">
        <v>79</v>
      </c>
      <c r="Q47" s="164" t="str">
        <f t="shared" si="5"/>
        <v/>
      </c>
      <c r="R47" s="165"/>
      <c r="S47" s="165">
        <f t="shared" si="3"/>
        <v>161</v>
      </c>
      <c r="V47">
        <v>76</v>
      </c>
      <c r="W47" t="s">
        <v>112</v>
      </c>
      <c r="X47" t="s">
        <v>82</v>
      </c>
      <c r="Y47">
        <v>76</v>
      </c>
      <c r="Z47">
        <v>75</v>
      </c>
      <c r="AA47">
        <v>71</v>
      </c>
      <c r="AB47">
        <v>4</v>
      </c>
    </row>
    <row r="48" spans="4:28" ht="18" thickBot="1" x14ac:dyDescent="0.3">
      <c r="D48" s="49"/>
      <c r="E48" s="50"/>
      <c r="F48" s="51"/>
      <c r="G48" s="49"/>
      <c r="H48" s="50"/>
      <c r="I48" s="51"/>
      <c r="J48" s="53"/>
      <c r="K48" s="74" t="str">
        <f t="shared" si="4"/>
        <v/>
      </c>
      <c r="L48">
        <v>45</v>
      </c>
      <c r="M48" s="149" t="s">
        <v>90</v>
      </c>
      <c r="N48" s="150" t="s">
        <v>25</v>
      </c>
      <c r="O48" s="165">
        <v>81</v>
      </c>
      <c r="P48" s="165">
        <v>80</v>
      </c>
      <c r="Q48" s="164" t="str">
        <f t="shared" si="5"/>
        <v/>
      </c>
      <c r="R48" s="165"/>
      <c r="S48" s="165">
        <f t="shared" si="3"/>
        <v>161</v>
      </c>
      <c r="V48">
        <v>63</v>
      </c>
      <c r="W48" t="s">
        <v>144</v>
      </c>
      <c r="X48" t="s">
        <v>25</v>
      </c>
      <c r="Y48">
        <v>76</v>
      </c>
      <c r="Z48">
        <v>76</v>
      </c>
      <c r="AA48">
        <v>77</v>
      </c>
      <c r="AB48">
        <v>7</v>
      </c>
    </row>
    <row r="49" spans="11:28" ht="17.25" x14ac:dyDescent="0.25">
      <c r="K49" s="74" t="str">
        <f t="shared" si="4"/>
        <v/>
      </c>
      <c r="L49" s="86">
        <v>46</v>
      </c>
      <c r="M49" s="149" t="s">
        <v>91</v>
      </c>
      <c r="N49" s="150" t="s">
        <v>25</v>
      </c>
      <c r="O49" s="165">
        <v>79</v>
      </c>
      <c r="P49" s="165">
        <v>82</v>
      </c>
      <c r="Q49" s="164" t="str">
        <f t="shared" si="5"/>
        <v/>
      </c>
      <c r="R49" s="165"/>
      <c r="S49" s="165">
        <f t="shared" si="3"/>
        <v>161</v>
      </c>
      <c r="V49">
        <v>67</v>
      </c>
      <c r="W49" t="s">
        <v>104</v>
      </c>
      <c r="X49" t="s">
        <v>54</v>
      </c>
      <c r="Y49">
        <v>74</v>
      </c>
      <c r="Z49">
        <v>78</v>
      </c>
      <c r="AA49">
        <v>86</v>
      </c>
      <c r="AB49">
        <v>12</v>
      </c>
    </row>
    <row r="50" spans="11:28" ht="17.25" x14ac:dyDescent="0.25">
      <c r="K50" s="74" t="str">
        <f t="shared" si="4"/>
        <v/>
      </c>
      <c r="L50">
        <v>47</v>
      </c>
      <c r="M50" s="149" t="s">
        <v>92</v>
      </c>
      <c r="N50" s="150" t="s">
        <v>25</v>
      </c>
      <c r="O50" s="165">
        <v>90</v>
      </c>
      <c r="P50" s="165">
        <v>83</v>
      </c>
      <c r="Q50" s="164" t="str">
        <f t="shared" si="5"/>
        <v/>
      </c>
      <c r="R50" s="165"/>
      <c r="S50" s="165">
        <f t="shared" si="3"/>
        <v>173</v>
      </c>
      <c r="V50">
        <v>70</v>
      </c>
      <c r="W50" t="s">
        <v>107</v>
      </c>
      <c r="X50" t="s">
        <v>54</v>
      </c>
      <c r="Y50">
        <v>80</v>
      </c>
      <c r="Z50">
        <v>76</v>
      </c>
      <c r="AA50">
        <v>79</v>
      </c>
      <c r="AB50">
        <v>10</v>
      </c>
    </row>
    <row r="51" spans="11:28" ht="17.25" x14ac:dyDescent="0.25">
      <c r="K51" s="74">
        <f t="shared" si="4"/>
        <v>25</v>
      </c>
      <c r="L51" s="86">
        <v>48</v>
      </c>
      <c r="M51" s="149" t="s">
        <v>93</v>
      </c>
      <c r="N51" s="150" t="s">
        <v>25</v>
      </c>
      <c r="O51" s="165">
        <v>82</v>
      </c>
      <c r="P51" s="165">
        <v>75</v>
      </c>
      <c r="Q51" s="164">
        <f t="shared" si="5"/>
        <v>79</v>
      </c>
      <c r="R51" s="165"/>
      <c r="S51" s="165">
        <f t="shared" si="3"/>
        <v>236</v>
      </c>
      <c r="V51">
        <v>78</v>
      </c>
      <c r="W51" t="s">
        <v>145</v>
      </c>
      <c r="X51" t="s">
        <v>34</v>
      </c>
      <c r="Y51">
        <v>81</v>
      </c>
      <c r="Z51">
        <v>75</v>
      </c>
      <c r="AA51">
        <v>77</v>
      </c>
      <c r="AB51">
        <v>9</v>
      </c>
    </row>
    <row r="52" spans="11:28" ht="17.25" x14ac:dyDescent="0.25">
      <c r="K52" s="74" t="str">
        <f t="shared" si="4"/>
        <v/>
      </c>
      <c r="L52">
        <v>49</v>
      </c>
      <c r="M52" s="151" t="s">
        <v>94</v>
      </c>
      <c r="N52" s="151" t="s">
        <v>25</v>
      </c>
      <c r="O52" s="165">
        <v>82</v>
      </c>
      <c r="P52" s="165">
        <v>86</v>
      </c>
      <c r="Q52" s="164" t="str">
        <f t="shared" si="5"/>
        <v/>
      </c>
      <c r="R52" s="165"/>
      <c r="S52" s="165">
        <f t="shared" si="3"/>
        <v>168</v>
      </c>
      <c r="V52">
        <v>62</v>
      </c>
      <c r="W52" t="s">
        <v>102</v>
      </c>
      <c r="X52" t="s">
        <v>103</v>
      </c>
      <c r="Y52">
        <v>78</v>
      </c>
      <c r="Z52">
        <v>80</v>
      </c>
      <c r="AA52">
        <v>78</v>
      </c>
      <c r="AB52">
        <v>11</v>
      </c>
    </row>
    <row r="53" spans="11:28" ht="17.25" x14ac:dyDescent="0.25">
      <c r="K53" s="74">
        <f t="shared" si="4"/>
        <v>32</v>
      </c>
      <c r="L53" s="86">
        <v>50</v>
      </c>
      <c r="M53" s="149" t="s">
        <v>28</v>
      </c>
      <c r="N53" s="150" t="s">
        <v>25</v>
      </c>
      <c r="O53" s="165">
        <v>73</v>
      </c>
      <c r="P53" s="165">
        <v>85</v>
      </c>
      <c r="Q53" s="164">
        <f t="shared" si="5"/>
        <v>82</v>
      </c>
      <c r="R53" s="165"/>
      <c r="S53" s="165">
        <f t="shared" si="3"/>
        <v>240</v>
      </c>
      <c r="V53">
        <v>61</v>
      </c>
      <c r="W53" t="s">
        <v>146</v>
      </c>
      <c r="X53" t="s">
        <v>25</v>
      </c>
      <c r="Y53">
        <v>78</v>
      </c>
      <c r="Z53">
        <v>82</v>
      </c>
      <c r="AA53">
        <v>81</v>
      </c>
      <c r="AB53">
        <v>13</v>
      </c>
    </row>
    <row r="54" spans="11:28" ht="17.25" x14ac:dyDescent="0.25">
      <c r="K54" s="74">
        <f t="shared" si="4"/>
        <v>8</v>
      </c>
      <c r="L54">
        <v>51</v>
      </c>
      <c r="M54" s="149" t="s">
        <v>31</v>
      </c>
      <c r="N54" s="150" t="s">
        <v>25</v>
      </c>
      <c r="O54" s="165">
        <v>74</v>
      </c>
      <c r="P54" s="165">
        <v>69</v>
      </c>
      <c r="Q54" s="164">
        <f t="shared" si="5"/>
        <v>78</v>
      </c>
      <c r="R54" s="165"/>
      <c r="S54" s="165">
        <f t="shared" si="3"/>
        <v>221</v>
      </c>
      <c r="V54">
        <v>58</v>
      </c>
      <c r="W54" t="s">
        <v>147</v>
      </c>
      <c r="X54" t="s">
        <v>25</v>
      </c>
      <c r="Y54">
        <v>80</v>
      </c>
      <c r="Z54">
        <v>82</v>
      </c>
      <c r="AA54">
        <v>88</v>
      </c>
      <c r="AB54">
        <v>15</v>
      </c>
    </row>
    <row r="55" spans="11:28" ht="17.25" x14ac:dyDescent="0.25">
      <c r="K55" s="74" t="str">
        <f t="shared" si="4"/>
        <v/>
      </c>
      <c r="L55" s="86">
        <v>52</v>
      </c>
      <c r="M55" s="149" t="s">
        <v>95</v>
      </c>
      <c r="N55" s="150" t="s">
        <v>25</v>
      </c>
      <c r="O55" s="165">
        <v>82</v>
      </c>
      <c r="P55" s="165">
        <v>83</v>
      </c>
      <c r="Q55" s="164" t="str">
        <f t="shared" si="5"/>
        <v/>
      </c>
      <c r="R55" s="165"/>
      <c r="S55" s="165">
        <f t="shared" si="3"/>
        <v>165</v>
      </c>
      <c r="V55">
        <v>75</v>
      </c>
      <c r="W55" t="s">
        <v>116</v>
      </c>
      <c r="X55" t="s">
        <v>34</v>
      </c>
      <c r="Y55">
        <v>84</v>
      </c>
      <c r="Z55">
        <v>78</v>
      </c>
      <c r="AA55">
        <v>81</v>
      </c>
      <c r="AB55">
        <v>14</v>
      </c>
    </row>
    <row r="56" spans="11:28" ht="17.25" x14ac:dyDescent="0.25">
      <c r="K56" s="74" t="str">
        <f t="shared" si="4"/>
        <v/>
      </c>
      <c r="L56">
        <v>53</v>
      </c>
      <c r="M56" s="149" t="s">
        <v>96</v>
      </c>
      <c r="N56" s="150" t="s">
        <v>25</v>
      </c>
      <c r="O56" s="165">
        <v>85</v>
      </c>
      <c r="P56" s="165">
        <v>82</v>
      </c>
      <c r="Q56" s="164" t="str">
        <f t="shared" si="5"/>
        <v/>
      </c>
      <c r="R56" s="165"/>
      <c r="S56" s="165">
        <f t="shared" si="3"/>
        <v>167</v>
      </c>
    </row>
    <row r="57" spans="11:28" ht="17.25" x14ac:dyDescent="0.25">
      <c r="K57" s="74" t="str">
        <f t="shared" si="4"/>
        <v/>
      </c>
      <c r="L57" s="86">
        <v>54</v>
      </c>
      <c r="M57" s="149" t="s">
        <v>97</v>
      </c>
      <c r="N57" s="150" t="s">
        <v>25</v>
      </c>
      <c r="O57" s="165">
        <v>108</v>
      </c>
      <c r="P57" s="165">
        <v>95</v>
      </c>
      <c r="Q57" s="164" t="str">
        <f t="shared" si="5"/>
        <v/>
      </c>
      <c r="R57" s="165"/>
      <c r="S57" s="165">
        <f t="shared" ref="S57:S90" si="6">SUM(O57:R57)</f>
        <v>203</v>
      </c>
    </row>
    <row r="58" spans="11:28" ht="17.25" x14ac:dyDescent="0.25">
      <c r="K58" s="74">
        <f t="shared" si="4"/>
        <v>17</v>
      </c>
      <c r="L58" s="86">
        <v>55</v>
      </c>
      <c r="M58" s="149" t="s">
        <v>42</v>
      </c>
      <c r="N58" s="150" t="s">
        <v>25</v>
      </c>
      <c r="O58" s="165">
        <v>75</v>
      </c>
      <c r="P58" s="165">
        <v>78</v>
      </c>
      <c r="Q58" s="164">
        <f t="shared" si="5"/>
        <v>77</v>
      </c>
      <c r="R58" s="165"/>
      <c r="S58" s="165">
        <f t="shared" si="6"/>
        <v>230</v>
      </c>
    </row>
    <row r="59" spans="11:28" ht="17.25" x14ac:dyDescent="0.25">
      <c r="K59" s="74" t="str">
        <f t="shared" si="4"/>
        <v/>
      </c>
      <c r="L59" s="86">
        <v>56</v>
      </c>
      <c r="M59" s="149" t="s">
        <v>98</v>
      </c>
      <c r="N59" s="150" t="s">
        <v>25</v>
      </c>
      <c r="O59" s="165">
        <v>84</v>
      </c>
      <c r="P59" s="165">
        <v>88</v>
      </c>
      <c r="Q59" s="164" t="str">
        <f t="shared" si="5"/>
        <v/>
      </c>
      <c r="R59" s="165"/>
      <c r="S59" s="165">
        <f t="shared" si="6"/>
        <v>172</v>
      </c>
    </row>
    <row r="60" spans="11:28" ht="18" thickBot="1" x14ac:dyDescent="0.3">
      <c r="K60" s="74" t="str">
        <f t="shared" si="4"/>
        <v/>
      </c>
      <c r="L60" s="72">
        <v>57</v>
      </c>
      <c r="M60" s="153" t="s">
        <v>99</v>
      </c>
      <c r="N60" s="154" t="s">
        <v>25</v>
      </c>
      <c r="O60" s="166">
        <v>78</v>
      </c>
      <c r="P60" s="166">
        <v>85</v>
      </c>
      <c r="Q60" s="166" t="str">
        <f t="shared" si="5"/>
        <v/>
      </c>
      <c r="R60" s="166"/>
      <c r="S60" s="166">
        <f t="shared" si="6"/>
        <v>163</v>
      </c>
    </row>
    <row r="61" spans="11:28" ht="17.25" x14ac:dyDescent="0.25">
      <c r="K61" s="74">
        <f t="shared" si="4"/>
        <v>15</v>
      </c>
      <c r="L61" s="73">
        <v>58</v>
      </c>
      <c r="M61" s="161" t="s">
        <v>46</v>
      </c>
      <c r="N61" s="152" t="s">
        <v>25</v>
      </c>
      <c r="O61" s="167">
        <v>80</v>
      </c>
      <c r="P61" s="167">
        <v>82</v>
      </c>
      <c r="Q61" s="167">
        <f t="shared" si="5"/>
        <v>88</v>
      </c>
      <c r="R61" s="167"/>
      <c r="S61" s="167">
        <f t="shared" si="6"/>
        <v>250</v>
      </c>
    </row>
    <row r="62" spans="11:28" ht="17.25" x14ac:dyDescent="0.25">
      <c r="K62" s="74" t="str">
        <f t="shared" si="4"/>
        <v/>
      </c>
      <c r="L62" s="86">
        <v>59</v>
      </c>
      <c r="M62" s="149" t="s">
        <v>100</v>
      </c>
      <c r="N62" s="150" t="s">
        <v>25</v>
      </c>
      <c r="O62" s="165">
        <v>83</v>
      </c>
      <c r="P62" s="165">
        <v>92</v>
      </c>
      <c r="Q62" s="164" t="str">
        <f t="shared" si="5"/>
        <v/>
      </c>
      <c r="R62" s="165"/>
      <c r="S62" s="165">
        <f t="shared" si="6"/>
        <v>175</v>
      </c>
    </row>
    <row r="63" spans="11:28" ht="17.25" x14ac:dyDescent="0.25">
      <c r="K63" s="74">
        <f t="shared" si="4"/>
        <v>8</v>
      </c>
      <c r="L63" s="86">
        <v>60</v>
      </c>
      <c r="M63" s="149" t="s">
        <v>101</v>
      </c>
      <c r="N63" s="150" t="s">
        <v>25</v>
      </c>
      <c r="O63" s="165">
        <v>73</v>
      </c>
      <c r="P63" s="165">
        <v>76</v>
      </c>
      <c r="Q63" s="164">
        <f t="shared" si="5"/>
        <v>80</v>
      </c>
      <c r="R63" s="165"/>
      <c r="S63" s="165">
        <f t="shared" si="6"/>
        <v>229</v>
      </c>
    </row>
    <row r="64" spans="11:28" ht="17.25" x14ac:dyDescent="0.25">
      <c r="K64" s="74">
        <f t="shared" si="4"/>
        <v>13</v>
      </c>
      <c r="L64" s="86">
        <v>61</v>
      </c>
      <c r="M64" s="149" t="s">
        <v>44</v>
      </c>
      <c r="N64" s="150" t="s">
        <v>25</v>
      </c>
      <c r="O64" s="165">
        <v>78</v>
      </c>
      <c r="P64" s="165">
        <v>82</v>
      </c>
      <c r="Q64" s="164">
        <f t="shared" si="5"/>
        <v>81</v>
      </c>
      <c r="R64" s="165"/>
      <c r="S64" s="165">
        <f t="shared" si="6"/>
        <v>241</v>
      </c>
    </row>
    <row r="65" spans="11:19" ht="17.25" x14ac:dyDescent="0.25">
      <c r="K65" s="74">
        <f t="shared" si="4"/>
        <v>11</v>
      </c>
      <c r="L65" s="86">
        <v>62</v>
      </c>
      <c r="M65" s="149" t="s">
        <v>102</v>
      </c>
      <c r="N65" s="150" t="s">
        <v>103</v>
      </c>
      <c r="O65" s="165">
        <v>78</v>
      </c>
      <c r="P65" s="165">
        <v>80</v>
      </c>
      <c r="Q65" s="164">
        <f t="shared" si="5"/>
        <v>78</v>
      </c>
      <c r="R65" s="165"/>
      <c r="S65" s="165">
        <f t="shared" si="6"/>
        <v>236</v>
      </c>
    </row>
    <row r="66" spans="11:19" ht="17.25" x14ac:dyDescent="0.25">
      <c r="K66" s="74">
        <f t="shared" si="4"/>
        <v>7</v>
      </c>
      <c r="L66" s="86">
        <v>63</v>
      </c>
      <c r="M66" s="149" t="s">
        <v>47</v>
      </c>
      <c r="N66" s="150" t="s">
        <v>25</v>
      </c>
      <c r="O66" s="165">
        <v>76</v>
      </c>
      <c r="P66" s="165">
        <v>76</v>
      </c>
      <c r="Q66" s="164">
        <f t="shared" si="5"/>
        <v>77</v>
      </c>
      <c r="R66" s="165"/>
      <c r="S66" s="165">
        <f t="shared" si="6"/>
        <v>229</v>
      </c>
    </row>
    <row r="67" spans="11:19" ht="17.25" x14ac:dyDescent="0.25">
      <c r="K67" s="74">
        <f t="shared" si="4"/>
        <v>5</v>
      </c>
      <c r="L67" s="86">
        <v>64</v>
      </c>
      <c r="M67" s="149" t="s">
        <v>45</v>
      </c>
      <c r="N67" s="150" t="s">
        <v>25</v>
      </c>
      <c r="O67" s="165">
        <v>75</v>
      </c>
      <c r="P67" s="165">
        <v>75</v>
      </c>
      <c r="Q67" s="164">
        <f t="shared" si="5"/>
        <v>73</v>
      </c>
      <c r="R67" s="165"/>
      <c r="S67" s="165">
        <f t="shared" si="6"/>
        <v>223</v>
      </c>
    </row>
    <row r="68" spans="11:19" ht="17.25" x14ac:dyDescent="0.25">
      <c r="K68" s="74" t="str">
        <f t="shared" ref="K68:K81" si="7">IF(ISNA(VLOOKUP(L68,$V$4:$AB$55,7,FALSE)),"",VLOOKUP(L68,$V$4:$AB$55,7,FALSE))</f>
        <v/>
      </c>
      <c r="L68" s="86">
        <v>65</v>
      </c>
      <c r="M68" s="149"/>
      <c r="N68" s="150" t="s">
        <v>54</v>
      </c>
      <c r="O68" s="165">
        <v>0</v>
      </c>
      <c r="P68" s="165">
        <v>0</v>
      </c>
      <c r="Q68" s="164" t="str">
        <f t="shared" ref="Q68:Q81" si="8">IF(ISNA(VLOOKUP(L68,$V$4:$AB$55,6,FALSE)),"",VLOOKUP(L68,$V$4:$AB$55,6,FALSE))</f>
        <v/>
      </c>
      <c r="R68" s="165"/>
      <c r="S68" s="165">
        <f t="shared" si="6"/>
        <v>0</v>
      </c>
    </row>
    <row r="69" spans="11:19" ht="17.25" x14ac:dyDescent="0.25">
      <c r="K69" s="74">
        <f t="shared" si="7"/>
        <v>6</v>
      </c>
      <c r="L69" s="86">
        <v>66</v>
      </c>
      <c r="M69" s="149" t="s">
        <v>43</v>
      </c>
      <c r="N69" s="150" t="s">
        <v>25</v>
      </c>
      <c r="O69" s="165">
        <v>75</v>
      </c>
      <c r="P69" s="165">
        <v>75</v>
      </c>
      <c r="Q69" s="164">
        <f t="shared" si="8"/>
        <v>75</v>
      </c>
      <c r="R69" s="165"/>
      <c r="S69" s="165">
        <f t="shared" si="6"/>
        <v>225</v>
      </c>
    </row>
    <row r="70" spans="11:19" ht="17.25" x14ac:dyDescent="0.25">
      <c r="K70" s="74">
        <f t="shared" si="7"/>
        <v>12</v>
      </c>
      <c r="L70" s="86">
        <v>67</v>
      </c>
      <c r="M70" s="149" t="s">
        <v>104</v>
      </c>
      <c r="N70" s="150" t="s">
        <v>54</v>
      </c>
      <c r="O70" s="165">
        <v>74</v>
      </c>
      <c r="P70" s="165">
        <v>78</v>
      </c>
      <c r="Q70" s="164">
        <f t="shared" si="8"/>
        <v>86</v>
      </c>
      <c r="R70" s="165"/>
      <c r="S70" s="165">
        <f t="shared" si="6"/>
        <v>238</v>
      </c>
    </row>
    <row r="71" spans="11:19" ht="17.25" x14ac:dyDescent="0.25">
      <c r="K71" s="74" t="str">
        <f t="shared" si="7"/>
        <v/>
      </c>
      <c r="L71" s="86">
        <v>68</v>
      </c>
      <c r="M71" s="149" t="s">
        <v>105</v>
      </c>
      <c r="N71" s="150" t="s">
        <v>35</v>
      </c>
      <c r="O71" s="165">
        <v>84</v>
      </c>
      <c r="P71" s="165">
        <v>80</v>
      </c>
      <c r="Q71" s="164" t="str">
        <f t="shared" si="8"/>
        <v/>
      </c>
      <c r="R71" s="165"/>
      <c r="S71" s="165">
        <f t="shared" si="6"/>
        <v>164</v>
      </c>
    </row>
    <row r="72" spans="11:19" ht="17.25" x14ac:dyDescent="0.25">
      <c r="K72" s="74" t="str">
        <f t="shared" si="7"/>
        <v/>
      </c>
      <c r="L72" s="86">
        <v>69</v>
      </c>
      <c r="M72" s="149" t="s">
        <v>106</v>
      </c>
      <c r="N72" s="150" t="s">
        <v>25</v>
      </c>
      <c r="O72" s="165">
        <v>89</v>
      </c>
      <c r="P72" s="165">
        <v>90</v>
      </c>
      <c r="Q72" s="164" t="str">
        <f t="shared" si="8"/>
        <v/>
      </c>
      <c r="R72" s="165"/>
      <c r="S72" s="165">
        <f t="shared" si="6"/>
        <v>179</v>
      </c>
    </row>
    <row r="73" spans="11:19" ht="17.25" x14ac:dyDescent="0.25">
      <c r="K73" s="74">
        <f t="shared" si="7"/>
        <v>10</v>
      </c>
      <c r="L73" s="86">
        <v>70</v>
      </c>
      <c r="M73" s="149" t="s">
        <v>107</v>
      </c>
      <c r="N73" s="150" t="s">
        <v>54</v>
      </c>
      <c r="O73" s="165">
        <v>80</v>
      </c>
      <c r="P73" s="165">
        <v>76</v>
      </c>
      <c r="Q73" s="164">
        <f t="shared" si="8"/>
        <v>79</v>
      </c>
      <c r="R73" s="165"/>
      <c r="S73" s="165">
        <f t="shared" si="6"/>
        <v>235</v>
      </c>
    </row>
    <row r="74" spans="11:19" ht="17.25" x14ac:dyDescent="0.25">
      <c r="K74" s="74" t="str">
        <f t="shared" si="7"/>
        <v/>
      </c>
      <c r="L74" s="86">
        <v>71</v>
      </c>
      <c r="M74" s="149" t="s">
        <v>108</v>
      </c>
      <c r="N74" s="150" t="s">
        <v>35</v>
      </c>
      <c r="O74" s="165">
        <v>83</v>
      </c>
      <c r="P74" s="165">
        <v>81</v>
      </c>
      <c r="Q74" s="164" t="str">
        <f t="shared" si="8"/>
        <v/>
      </c>
      <c r="R74" s="165"/>
      <c r="S74" s="165">
        <f t="shared" si="6"/>
        <v>164</v>
      </c>
    </row>
    <row r="75" spans="11:19" ht="17.25" x14ac:dyDescent="0.25">
      <c r="K75" s="74" t="str">
        <f t="shared" si="7"/>
        <v/>
      </c>
      <c r="L75" s="86">
        <v>72</v>
      </c>
      <c r="M75" s="149" t="s">
        <v>109</v>
      </c>
      <c r="N75" s="150" t="s">
        <v>25</v>
      </c>
      <c r="O75" s="165">
        <v>88</v>
      </c>
      <c r="P75" s="165">
        <v>78</v>
      </c>
      <c r="Q75" s="164" t="str">
        <f t="shared" si="8"/>
        <v/>
      </c>
      <c r="R75" s="165"/>
      <c r="S75" s="165">
        <f t="shared" si="6"/>
        <v>166</v>
      </c>
    </row>
    <row r="76" spans="11:19" ht="17.25" x14ac:dyDescent="0.25">
      <c r="K76" s="74">
        <f t="shared" si="7"/>
        <v>3</v>
      </c>
      <c r="L76" s="86">
        <v>73</v>
      </c>
      <c r="M76" s="149" t="s">
        <v>110</v>
      </c>
      <c r="N76" s="150" t="s">
        <v>82</v>
      </c>
      <c r="O76" s="165">
        <v>75</v>
      </c>
      <c r="P76" s="165">
        <v>70</v>
      </c>
      <c r="Q76" s="164">
        <f t="shared" si="8"/>
        <v>74</v>
      </c>
      <c r="R76" s="165"/>
      <c r="S76" s="165">
        <f t="shared" si="6"/>
        <v>219</v>
      </c>
    </row>
    <row r="77" spans="11:19" ht="17.25" x14ac:dyDescent="0.25">
      <c r="K77" s="74">
        <f t="shared" si="7"/>
        <v>1</v>
      </c>
      <c r="L77" s="86">
        <v>74</v>
      </c>
      <c r="M77" s="150" t="s">
        <v>111</v>
      </c>
      <c r="N77" s="150" t="s">
        <v>25</v>
      </c>
      <c r="O77" s="165">
        <v>72</v>
      </c>
      <c r="P77" s="165">
        <v>70</v>
      </c>
      <c r="Q77" s="164">
        <f t="shared" si="8"/>
        <v>71</v>
      </c>
      <c r="R77" s="165"/>
      <c r="S77" s="165">
        <f t="shared" si="6"/>
        <v>213</v>
      </c>
    </row>
    <row r="78" spans="11:19" ht="17.25" x14ac:dyDescent="0.25">
      <c r="K78" s="74">
        <f t="shared" si="7"/>
        <v>14</v>
      </c>
      <c r="L78" s="86">
        <v>75</v>
      </c>
      <c r="M78" s="149" t="s">
        <v>116</v>
      </c>
      <c r="N78" s="150" t="s">
        <v>34</v>
      </c>
      <c r="O78" s="165">
        <v>84</v>
      </c>
      <c r="P78" s="165">
        <v>78</v>
      </c>
      <c r="Q78" s="164">
        <f t="shared" si="8"/>
        <v>81</v>
      </c>
      <c r="R78" s="165"/>
      <c r="S78" s="165">
        <f t="shared" si="6"/>
        <v>243</v>
      </c>
    </row>
    <row r="79" spans="11:19" ht="17.25" x14ac:dyDescent="0.25">
      <c r="K79" s="74">
        <f t="shared" si="7"/>
        <v>4</v>
      </c>
      <c r="L79" s="86">
        <v>76</v>
      </c>
      <c r="M79" s="149" t="s">
        <v>112</v>
      </c>
      <c r="N79" s="150" t="s">
        <v>82</v>
      </c>
      <c r="O79" s="165">
        <v>76</v>
      </c>
      <c r="P79" s="165">
        <v>75</v>
      </c>
      <c r="Q79" s="164">
        <f t="shared" si="8"/>
        <v>71</v>
      </c>
      <c r="R79" s="165"/>
      <c r="S79" s="165">
        <f t="shared" si="6"/>
        <v>222</v>
      </c>
    </row>
    <row r="80" spans="11:19" ht="17.25" x14ac:dyDescent="0.25">
      <c r="K80" s="74">
        <f t="shared" si="7"/>
        <v>2</v>
      </c>
      <c r="L80" s="86">
        <v>77</v>
      </c>
      <c r="M80" s="149" t="s">
        <v>113</v>
      </c>
      <c r="N80" s="150" t="s">
        <v>25</v>
      </c>
      <c r="O80" s="165">
        <v>72</v>
      </c>
      <c r="P80" s="165">
        <v>70</v>
      </c>
      <c r="Q80" s="164">
        <f t="shared" si="8"/>
        <v>75</v>
      </c>
      <c r="R80" s="165"/>
      <c r="S80" s="165">
        <f t="shared" si="6"/>
        <v>217</v>
      </c>
    </row>
    <row r="81" spans="11:19" ht="17.25" x14ac:dyDescent="0.25">
      <c r="K81" s="74">
        <f t="shared" si="7"/>
        <v>9</v>
      </c>
      <c r="L81" s="86">
        <v>78</v>
      </c>
      <c r="M81" s="149" t="s">
        <v>117</v>
      </c>
      <c r="N81" s="150" t="s">
        <v>34</v>
      </c>
      <c r="O81" s="165">
        <v>81</v>
      </c>
      <c r="P81" s="165">
        <v>75</v>
      </c>
      <c r="Q81" s="164">
        <f t="shared" si="8"/>
        <v>77</v>
      </c>
      <c r="R81" s="165"/>
      <c r="S81" s="165">
        <f t="shared" si="6"/>
        <v>233</v>
      </c>
    </row>
    <row r="82" spans="11:19" ht="17.25" x14ac:dyDescent="0.25">
      <c r="K82" s="74"/>
      <c r="L82" s="86"/>
      <c r="M82" s="149"/>
      <c r="N82" s="150"/>
      <c r="O82" s="163"/>
      <c r="P82" s="163"/>
      <c r="Q82" s="163"/>
      <c r="R82" s="163"/>
      <c r="S82" s="163">
        <f t="shared" si="6"/>
        <v>0</v>
      </c>
    </row>
    <row r="83" spans="11:19" ht="17.25" x14ac:dyDescent="0.25">
      <c r="K83" s="74"/>
      <c r="L83" s="86"/>
      <c r="M83" s="149"/>
      <c r="N83" s="150"/>
      <c r="O83" s="163"/>
      <c r="P83" s="163"/>
      <c r="Q83" s="163"/>
      <c r="R83" s="163"/>
      <c r="S83" s="163">
        <f t="shared" si="6"/>
        <v>0</v>
      </c>
    </row>
    <row r="84" spans="11:19" ht="17.25" x14ac:dyDescent="0.25">
      <c r="K84" s="74"/>
      <c r="L84" s="86"/>
      <c r="M84" s="149"/>
      <c r="N84" s="150"/>
      <c r="O84" s="163"/>
      <c r="P84" s="163"/>
      <c r="Q84" s="163"/>
      <c r="R84" s="163"/>
      <c r="S84" s="163">
        <f t="shared" si="6"/>
        <v>0</v>
      </c>
    </row>
    <row r="85" spans="11:19" ht="17.25" x14ac:dyDescent="0.25">
      <c r="K85" s="74"/>
      <c r="L85" s="86"/>
      <c r="M85" s="149"/>
      <c r="N85" s="150"/>
      <c r="O85" s="163"/>
      <c r="P85" s="163"/>
      <c r="Q85" s="163"/>
      <c r="R85" s="163"/>
      <c r="S85" s="163">
        <f t="shared" si="6"/>
        <v>0</v>
      </c>
    </row>
    <row r="86" spans="11:19" ht="17.25" x14ac:dyDescent="0.25">
      <c r="K86" s="74"/>
      <c r="L86" s="86"/>
      <c r="M86" s="149"/>
      <c r="N86" s="150"/>
      <c r="O86" s="163"/>
      <c r="P86" s="163"/>
      <c r="Q86" s="163"/>
      <c r="R86" s="163"/>
      <c r="S86" s="163">
        <f t="shared" si="6"/>
        <v>0</v>
      </c>
    </row>
    <row r="87" spans="11:19" ht="17.25" x14ac:dyDescent="0.25">
      <c r="K87" s="74"/>
      <c r="L87" s="86"/>
      <c r="M87" s="149"/>
      <c r="N87" s="150"/>
      <c r="O87" s="163"/>
      <c r="P87" s="163"/>
      <c r="Q87" s="163"/>
      <c r="R87" s="163"/>
      <c r="S87" s="163">
        <f t="shared" si="6"/>
        <v>0</v>
      </c>
    </row>
    <row r="88" spans="11:19" ht="17.25" x14ac:dyDescent="0.25">
      <c r="K88" s="74"/>
      <c r="L88" s="86"/>
      <c r="M88" s="149"/>
      <c r="N88" s="150"/>
      <c r="O88" s="163"/>
      <c r="P88" s="163"/>
      <c r="Q88" s="163"/>
      <c r="R88" s="163"/>
      <c r="S88" s="163">
        <f t="shared" si="6"/>
        <v>0</v>
      </c>
    </row>
    <row r="89" spans="11:19" ht="17.25" x14ac:dyDescent="0.25">
      <c r="K89" s="74"/>
      <c r="L89" s="86"/>
      <c r="M89" s="149"/>
      <c r="N89" s="150"/>
      <c r="O89" s="163"/>
      <c r="P89" s="163"/>
      <c r="Q89" s="163"/>
      <c r="R89" s="163"/>
      <c r="S89" s="163">
        <f t="shared" si="6"/>
        <v>0</v>
      </c>
    </row>
    <row r="90" spans="11:19" ht="17.25" x14ac:dyDescent="0.25">
      <c r="K90" s="74"/>
      <c r="L90" s="86"/>
      <c r="M90" s="149"/>
      <c r="N90" s="150"/>
      <c r="O90" s="163"/>
      <c r="P90" s="163"/>
      <c r="Q90" s="163"/>
      <c r="R90" s="163"/>
      <c r="S90" s="163">
        <f t="shared" si="6"/>
        <v>0</v>
      </c>
    </row>
    <row r="91" spans="11:19" x14ac:dyDescent="0.25">
      <c r="K91" s="74"/>
      <c r="L91" s="86"/>
    </row>
    <row r="92" spans="11:19" x14ac:dyDescent="0.25">
      <c r="K92" s="74"/>
      <c r="L92" s="86"/>
    </row>
    <row r="93" spans="11:19" x14ac:dyDescent="0.25">
      <c r="K93" s="74"/>
      <c r="L93" s="86"/>
    </row>
    <row r="94" spans="11:19" x14ac:dyDescent="0.25">
      <c r="K94" s="74"/>
      <c r="L94" s="86"/>
    </row>
  </sheetData>
  <phoneticPr fontId="2" type="noConversion"/>
  <pageMargins left="0.7" right="0.7" top="0.75" bottom="0.75" header="0.3" footer="0.3"/>
  <pageSetup paperSize="9" orientation="portrait" horizontalDpi="0" verticalDpi="0" r:id="rId1"/>
  <ignoredErrors>
    <ignoredError sqref="F8:I9 F13:I30 F12:H12 F7:H7 F11:I11 F10:H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workbookViewId="0">
      <selection activeCell="Q17" sqref="Q17"/>
    </sheetView>
  </sheetViews>
  <sheetFormatPr defaultRowHeight="16.5" x14ac:dyDescent="0.25"/>
  <cols>
    <col min="1" max="1" width="2.875" customWidth="1"/>
    <col min="2" max="2" width="3.375" customWidth="1"/>
    <col min="3" max="3" width="6.625" customWidth="1"/>
    <col min="4" max="4" width="3.625" customWidth="1"/>
    <col min="5" max="5" width="20.625" customWidth="1"/>
    <col min="6" max="6" width="7.625" customWidth="1"/>
    <col min="7" max="9" width="3.875" customWidth="1"/>
    <col min="10" max="10" width="4.5" customWidth="1"/>
    <col min="11" max="11" width="2.875" customWidth="1"/>
    <col min="12" max="12" width="3.375" customWidth="1"/>
    <col min="13" max="13" width="6.625" customWidth="1"/>
    <col min="14" max="14" width="3.625" customWidth="1"/>
    <col min="15" max="15" width="20.625" customWidth="1"/>
    <col min="16" max="16" width="6.625" customWidth="1"/>
    <col min="17" max="19" width="3.875" customWidth="1"/>
    <col min="20" max="20" width="4.5" customWidth="1"/>
  </cols>
  <sheetData>
    <row r="1" spans="1:20" ht="24" customHeight="1" x14ac:dyDescent="0.25">
      <c r="A1" s="172" t="s">
        <v>55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</row>
    <row r="2" spans="1:20" ht="24" customHeight="1" x14ac:dyDescent="0.25">
      <c r="A2" s="173" t="s">
        <v>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</row>
    <row r="3" spans="1:20" x14ac:dyDescent="0.25">
      <c r="A3" s="174" t="s">
        <v>56</v>
      </c>
      <c r="B3" s="174"/>
      <c r="C3" s="174"/>
      <c r="D3" s="174"/>
      <c r="E3" s="174"/>
      <c r="F3" s="174"/>
      <c r="G3" s="174"/>
      <c r="H3" s="1"/>
      <c r="I3" s="2"/>
      <c r="J3" s="3"/>
      <c r="K3" s="3"/>
      <c r="L3" s="146" t="s">
        <v>1</v>
      </c>
      <c r="M3" s="146"/>
      <c r="N3" s="146"/>
      <c r="O3" s="146"/>
      <c r="P3" s="146"/>
      <c r="Q3" s="146"/>
      <c r="R3" s="146"/>
      <c r="S3" s="146"/>
      <c r="T3" s="2"/>
    </row>
    <row r="4" spans="1:20" ht="16.899999999999999" thickBot="1" x14ac:dyDescent="0.35">
      <c r="A4" s="2"/>
      <c r="B4" s="175" t="s">
        <v>2</v>
      </c>
      <c r="C4" s="175"/>
      <c r="D4" s="175"/>
      <c r="E4" s="175"/>
      <c r="F4" s="4"/>
      <c r="G4" s="5"/>
      <c r="H4" s="6"/>
      <c r="I4" s="6"/>
      <c r="J4" s="2"/>
      <c r="K4" s="7"/>
      <c r="L4" s="176" t="s">
        <v>3</v>
      </c>
      <c r="M4" s="176"/>
      <c r="N4" s="176"/>
      <c r="O4" s="176"/>
      <c r="P4" s="8"/>
      <c r="Q4" s="8"/>
      <c r="R4" s="6"/>
      <c r="S4" s="6"/>
      <c r="T4" s="6"/>
    </row>
    <row r="5" spans="1:20" ht="16.5" customHeight="1" x14ac:dyDescent="0.25">
      <c r="A5" s="180" t="s">
        <v>18</v>
      </c>
      <c r="B5" s="9">
        <v>1</v>
      </c>
      <c r="C5" s="10">
        <f>basic!$A$2</f>
        <v>0.29166666666666669</v>
      </c>
      <c r="D5" s="11">
        <v>1</v>
      </c>
      <c r="E5" s="55" t="str">
        <f t="shared" ref="E5:E16" si="0">VLOOKUP(D5,名單,2,FALSE)</f>
        <v>Yu-Chia Chiu 邱昱嘉</v>
      </c>
      <c r="F5" s="13" t="str">
        <f t="shared" ref="F5:F16" si="1">VLOOKUP(D5,名單,3,FALSE)</f>
        <v>ROC</v>
      </c>
      <c r="G5" s="82"/>
      <c r="H5" s="14"/>
      <c r="I5" s="15"/>
      <c r="J5" s="16"/>
      <c r="K5" s="180" t="s">
        <v>4</v>
      </c>
      <c r="L5" s="9">
        <v>2</v>
      </c>
      <c r="M5" s="10">
        <f>basic!$A$2</f>
        <v>0.29166666666666669</v>
      </c>
      <c r="N5" s="11">
        <f>MAX(D5:D49)+1</f>
        <v>40</v>
      </c>
      <c r="O5" s="55" t="str">
        <f t="shared" ref="O5:O14" si="2">VLOOKUP(N5,名單,2,FALSE)</f>
        <v>Meng-Heng Lu 呂孟恆</v>
      </c>
      <c r="P5" s="13" t="str">
        <f t="shared" ref="P5:P14" si="3">VLOOKUP(N5,名單,3,FALSE)</f>
        <v>ROC</v>
      </c>
      <c r="Q5" s="82"/>
      <c r="R5" s="14"/>
      <c r="S5" s="15"/>
      <c r="T5" s="16"/>
    </row>
    <row r="6" spans="1:20" x14ac:dyDescent="0.25">
      <c r="A6" s="178"/>
      <c r="B6" s="17"/>
      <c r="C6" s="18"/>
      <c r="D6" s="19">
        <f t="shared" ref="D6:D40" si="4">D5+1</f>
        <v>2</v>
      </c>
      <c r="E6" s="155" t="str">
        <f t="shared" si="0"/>
        <v>Terrence Ng</v>
      </c>
      <c r="F6" s="21" t="str">
        <f t="shared" si="1"/>
        <v>HKG</v>
      </c>
      <c r="G6" s="83"/>
      <c r="H6" s="22"/>
      <c r="I6" s="23"/>
      <c r="J6" s="24"/>
      <c r="K6" s="178"/>
      <c r="L6" s="17"/>
      <c r="M6" s="18"/>
      <c r="N6" s="19">
        <f t="shared" ref="N6:N7" si="5">N5+1</f>
        <v>41</v>
      </c>
      <c r="O6" s="155" t="str">
        <f t="shared" si="2"/>
        <v>Zi-Jun Huang 黃子鈞</v>
      </c>
      <c r="P6" s="21" t="str">
        <f t="shared" si="3"/>
        <v>ROC</v>
      </c>
      <c r="Q6" s="83"/>
      <c r="R6" s="22"/>
      <c r="S6" s="23"/>
      <c r="T6" s="24"/>
    </row>
    <row r="7" spans="1:20" x14ac:dyDescent="0.25">
      <c r="A7" s="178"/>
      <c r="B7" s="25"/>
      <c r="C7" s="26"/>
      <c r="D7" s="27">
        <v>4</v>
      </c>
      <c r="E7" s="156" t="str">
        <f t="shared" ref="E7" si="6">VLOOKUP(D7,名單,2,FALSE)</f>
        <v>Xun-Mao Sun 孫薰懋</v>
      </c>
      <c r="F7" s="29" t="str">
        <f t="shared" ref="F7" si="7">VLOOKUP(D7,名單,3,FALSE)</f>
        <v>ROC</v>
      </c>
      <c r="G7" s="84"/>
      <c r="H7" s="30"/>
      <c r="I7" s="31"/>
      <c r="J7" s="32"/>
      <c r="K7" s="178"/>
      <c r="L7" s="25"/>
      <c r="M7" s="26"/>
      <c r="N7" s="27">
        <f t="shared" si="5"/>
        <v>42</v>
      </c>
      <c r="O7" s="156" t="str">
        <f t="shared" si="2"/>
        <v>Yu-Cheng Ho 何祐誠</v>
      </c>
      <c r="P7" s="29" t="str">
        <f t="shared" si="3"/>
        <v>ROC</v>
      </c>
      <c r="Q7" s="84"/>
      <c r="R7" s="30"/>
      <c r="S7" s="31"/>
      <c r="T7" s="32"/>
    </row>
    <row r="8" spans="1:20" x14ac:dyDescent="0.25">
      <c r="A8" s="178"/>
      <c r="B8" s="33">
        <f>B5+2</f>
        <v>3</v>
      </c>
      <c r="C8" s="34">
        <f>C5+basic!$A$3/60/24</f>
        <v>0.29791666666666666</v>
      </c>
      <c r="D8" s="35">
        <v>6</v>
      </c>
      <c r="E8" s="157" t="str">
        <f t="shared" si="0"/>
        <v>Wei-Fan Liu 劉威汎</v>
      </c>
      <c r="F8" s="37" t="str">
        <f t="shared" si="1"/>
        <v>ROC</v>
      </c>
      <c r="G8" s="85"/>
      <c r="H8" s="38"/>
      <c r="I8" s="39"/>
      <c r="J8" s="40"/>
      <c r="K8" s="178"/>
      <c r="L8" s="33">
        <f>L5+2</f>
        <v>4</v>
      </c>
      <c r="M8" s="34">
        <f>M5+basic!$A$3/60/24</f>
        <v>0.29791666666666666</v>
      </c>
      <c r="N8" s="35">
        <f>MAX(N5:N7)+1</f>
        <v>43</v>
      </c>
      <c r="O8" s="157" t="str">
        <f t="shared" si="2"/>
        <v>Chung-Chieh Yang 楊浚頡</v>
      </c>
      <c r="P8" s="37" t="str">
        <f t="shared" si="3"/>
        <v>ROC</v>
      </c>
      <c r="Q8" s="85"/>
      <c r="R8" s="38"/>
      <c r="S8" s="39"/>
      <c r="T8" s="40"/>
    </row>
    <row r="9" spans="1:20" x14ac:dyDescent="0.25">
      <c r="A9" s="178"/>
      <c r="B9" s="17"/>
      <c r="C9" s="18"/>
      <c r="D9" s="19">
        <v>7</v>
      </c>
      <c r="E9" s="155" t="str">
        <f t="shared" ref="E9:E10" si="8">VLOOKUP(D9,名單,2,FALSE)</f>
        <v>Chung-Ting Liao 廖崇廷</v>
      </c>
      <c r="F9" s="21" t="str">
        <f t="shared" ref="F9:F10" si="9">VLOOKUP(D9,名單,3,FALSE)</f>
        <v>ROC</v>
      </c>
      <c r="G9" s="83"/>
      <c r="H9" s="22"/>
      <c r="I9" s="23"/>
      <c r="J9" s="24"/>
      <c r="K9" s="178"/>
      <c r="L9" s="17"/>
      <c r="M9" s="18"/>
      <c r="N9" s="19">
        <f t="shared" ref="N9:N43" si="10">N8+1</f>
        <v>44</v>
      </c>
      <c r="O9" s="155" t="str">
        <f t="shared" si="2"/>
        <v>Yu-Cong Jhang 張育琮</v>
      </c>
      <c r="P9" s="21" t="str">
        <f t="shared" si="3"/>
        <v>ROC</v>
      </c>
      <c r="Q9" s="83"/>
      <c r="R9" s="22"/>
      <c r="S9" s="23"/>
      <c r="T9" s="24"/>
    </row>
    <row r="10" spans="1:20" x14ac:dyDescent="0.25">
      <c r="A10" s="178"/>
      <c r="B10" s="25"/>
      <c r="C10" s="26"/>
      <c r="D10" s="27">
        <v>8</v>
      </c>
      <c r="E10" s="156" t="str">
        <f t="shared" si="8"/>
        <v>Tiger Lee</v>
      </c>
      <c r="F10" s="29" t="str">
        <f t="shared" si="9"/>
        <v>HKG</v>
      </c>
      <c r="G10" s="84"/>
      <c r="H10" s="30"/>
      <c r="I10" s="31"/>
      <c r="J10" s="32"/>
      <c r="K10" s="178"/>
      <c r="L10" s="25"/>
      <c r="M10" s="26"/>
      <c r="N10" s="27">
        <f t="shared" si="10"/>
        <v>45</v>
      </c>
      <c r="O10" s="156" t="str">
        <f t="shared" si="2"/>
        <v>Mako‏ Shapiyate  沙比亞特馬克</v>
      </c>
      <c r="P10" s="29" t="str">
        <f t="shared" si="3"/>
        <v>ROC</v>
      </c>
      <c r="Q10" s="84"/>
      <c r="R10" s="30"/>
      <c r="S10" s="31"/>
      <c r="T10" s="32"/>
    </row>
    <row r="11" spans="1:20" ht="16.5" customHeight="1" x14ac:dyDescent="0.25">
      <c r="A11" s="178"/>
      <c r="B11" s="33">
        <f>B8+2</f>
        <v>5</v>
      </c>
      <c r="C11" s="34">
        <f>C8+basic!$A$3/60/24</f>
        <v>0.30416666666666664</v>
      </c>
      <c r="D11" s="35">
        <v>10</v>
      </c>
      <c r="E11" s="157" t="str">
        <f t="shared" si="0"/>
        <v>Kai Chen  陳　凱</v>
      </c>
      <c r="F11" s="37" t="str">
        <f t="shared" si="1"/>
        <v>ROC</v>
      </c>
      <c r="G11" s="85"/>
      <c r="H11" s="38"/>
      <c r="I11" s="39"/>
      <c r="J11" s="40"/>
      <c r="K11" s="178"/>
      <c r="L11" s="33">
        <f>L8+2</f>
        <v>6</v>
      </c>
      <c r="M11" s="34">
        <f>M8+basic!$A$3/60/24</f>
        <v>0.30416666666666664</v>
      </c>
      <c r="N11" s="35">
        <f>MAX(N8:N10)+1</f>
        <v>46</v>
      </c>
      <c r="O11" s="157" t="str">
        <f t="shared" ref="O11:O13" si="11">VLOOKUP(N11,名單,2,FALSE)</f>
        <v>Chin-Hung He 何勁宏</v>
      </c>
      <c r="P11" s="37" t="str">
        <f t="shared" ref="P11:P13" si="12">VLOOKUP(N11,名單,3,FALSE)</f>
        <v>ROC</v>
      </c>
      <c r="Q11" s="85"/>
      <c r="R11" s="38"/>
      <c r="S11" s="39"/>
      <c r="T11" s="40"/>
    </row>
    <row r="12" spans="1:20" x14ac:dyDescent="0.25">
      <c r="A12" s="178"/>
      <c r="B12" s="41"/>
      <c r="C12" s="18"/>
      <c r="D12" s="19">
        <f t="shared" si="4"/>
        <v>11</v>
      </c>
      <c r="E12" s="155" t="str">
        <f t="shared" si="0"/>
        <v>Steven Lam</v>
      </c>
      <c r="F12" s="21" t="str">
        <f t="shared" si="1"/>
        <v>HKG</v>
      </c>
      <c r="G12" s="83"/>
      <c r="H12" s="22"/>
      <c r="I12" s="23"/>
      <c r="J12" s="24"/>
      <c r="K12" s="178"/>
      <c r="L12" s="41"/>
      <c r="M12" s="18"/>
      <c r="N12" s="19">
        <f t="shared" si="10"/>
        <v>47</v>
      </c>
      <c r="O12" s="155" t="str">
        <f t="shared" si="11"/>
        <v>Chia-Wei Yu 游家瑋</v>
      </c>
      <c r="P12" s="21" t="str">
        <f t="shared" si="12"/>
        <v>ROC</v>
      </c>
      <c r="Q12" s="83"/>
      <c r="R12" s="22"/>
      <c r="S12" s="23"/>
      <c r="T12" s="24"/>
    </row>
    <row r="13" spans="1:20" x14ac:dyDescent="0.25">
      <c r="A13" s="178"/>
      <c r="B13" s="17"/>
      <c r="C13" s="26"/>
      <c r="D13" s="27">
        <f t="shared" si="4"/>
        <v>12</v>
      </c>
      <c r="E13" s="155" t="str">
        <f t="shared" si="0"/>
        <v>Jack Tsai 蔡政宏</v>
      </c>
      <c r="F13" s="21" t="str">
        <f t="shared" si="1"/>
        <v>ROC</v>
      </c>
      <c r="G13" s="83"/>
      <c r="H13" s="22"/>
      <c r="I13" s="23"/>
      <c r="J13" s="24"/>
      <c r="K13" s="178"/>
      <c r="L13" s="17"/>
      <c r="M13" s="26"/>
      <c r="N13" s="27">
        <f t="shared" si="10"/>
        <v>48</v>
      </c>
      <c r="O13" s="156" t="str">
        <f t="shared" si="11"/>
        <v>Yu-Chiao Chang 張育僑</v>
      </c>
      <c r="P13" s="29" t="str">
        <f t="shared" si="12"/>
        <v>ROC</v>
      </c>
      <c r="Q13" s="83"/>
      <c r="R13" s="22"/>
      <c r="S13" s="23"/>
      <c r="T13" s="24"/>
    </row>
    <row r="14" spans="1:20" ht="16.5" customHeight="1" x14ac:dyDescent="0.25">
      <c r="A14" s="178"/>
      <c r="B14" s="33">
        <f>B11+2</f>
        <v>7</v>
      </c>
      <c r="C14" s="34">
        <f>C11+basic!$A$3/60/24</f>
        <v>0.31041666666666662</v>
      </c>
      <c r="D14" s="35">
        <f>MAX(D11:D13)+1</f>
        <v>13</v>
      </c>
      <c r="E14" s="157" t="str">
        <f t="shared" si="0"/>
        <v>Shun-Chen Chang 張勛宸</v>
      </c>
      <c r="F14" s="37" t="str">
        <f t="shared" si="1"/>
        <v>ROC</v>
      </c>
      <c r="G14" s="85"/>
      <c r="H14" s="38"/>
      <c r="I14" s="39"/>
      <c r="J14" s="40"/>
      <c r="K14" s="178"/>
      <c r="L14" s="33">
        <f>L11+2</f>
        <v>8</v>
      </c>
      <c r="M14" s="34">
        <f>M11+basic!$A$3/60/24</f>
        <v>0.31041666666666662</v>
      </c>
      <c r="N14" s="35">
        <f>MAX(N11:N13)+1</f>
        <v>49</v>
      </c>
      <c r="O14" s="157" t="str">
        <f t="shared" si="2"/>
        <v>Jui-Lung Wu Mark 吳瑞隆</v>
      </c>
      <c r="P14" s="37" t="str">
        <f t="shared" si="3"/>
        <v>ROC</v>
      </c>
      <c r="Q14" s="85"/>
      <c r="R14" s="38"/>
      <c r="S14" s="39"/>
      <c r="T14" s="40"/>
    </row>
    <row r="15" spans="1:20" x14ac:dyDescent="0.25">
      <c r="A15" s="178"/>
      <c r="B15" s="17"/>
      <c r="C15" s="18"/>
      <c r="D15" s="19">
        <f t="shared" si="4"/>
        <v>14</v>
      </c>
      <c r="E15" s="155" t="str">
        <f t="shared" si="0"/>
        <v>Pei-Fwu Chen</v>
      </c>
      <c r="F15" s="21" t="str">
        <f t="shared" si="1"/>
        <v>HKG</v>
      </c>
      <c r="G15" s="83"/>
      <c r="H15" s="22"/>
      <c r="I15" s="23"/>
      <c r="J15" s="24"/>
      <c r="K15" s="178"/>
      <c r="L15" s="17"/>
      <c r="M15" s="18"/>
      <c r="N15" s="19">
        <f t="shared" si="10"/>
        <v>50</v>
      </c>
      <c r="O15" s="155" t="str">
        <f t="shared" ref="O15:O43" si="13">VLOOKUP(N15,名單,2,FALSE)</f>
        <v>Han-Wei Chiu 邱瀚緯</v>
      </c>
      <c r="P15" s="21" t="str">
        <f t="shared" ref="P15:P43" si="14">VLOOKUP(N15,名單,3,FALSE)</f>
        <v>ROC</v>
      </c>
      <c r="Q15" s="83"/>
      <c r="R15" s="22"/>
      <c r="S15" s="23"/>
      <c r="T15" s="24"/>
    </row>
    <row r="16" spans="1:20" x14ac:dyDescent="0.25">
      <c r="A16" s="178"/>
      <c r="B16" s="25"/>
      <c r="C16" s="26"/>
      <c r="D16" s="27">
        <f t="shared" si="4"/>
        <v>15</v>
      </c>
      <c r="E16" s="156" t="str">
        <f t="shared" si="0"/>
        <v>Yu-Chen Chen 陳宥蓁</v>
      </c>
      <c r="F16" s="29" t="str">
        <f t="shared" si="1"/>
        <v>ROC</v>
      </c>
      <c r="G16" s="84"/>
      <c r="H16" s="30"/>
      <c r="I16" s="31"/>
      <c r="J16" s="32"/>
      <c r="K16" s="178"/>
      <c r="L16" s="25"/>
      <c r="M16" s="26"/>
      <c r="N16" s="27">
        <f t="shared" si="10"/>
        <v>51</v>
      </c>
      <c r="O16" s="156" t="str">
        <f t="shared" si="13"/>
        <v>Che-Hung Tsai 蔡哲弘</v>
      </c>
      <c r="P16" s="29" t="str">
        <f t="shared" si="14"/>
        <v>ROC</v>
      </c>
      <c r="Q16" s="84"/>
      <c r="R16" s="30"/>
      <c r="S16" s="31"/>
      <c r="T16" s="32"/>
    </row>
    <row r="17" spans="1:20" ht="16.5" customHeight="1" x14ac:dyDescent="0.25">
      <c r="A17" s="178"/>
      <c r="B17" s="33">
        <f>B14+2</f>
        <v>9</v>
      </c>
      <c r="C17" s="34">
        <f>C14+basic!$A$3/60/24</f>
        <v>0.3166666666666666</v>
      </c>
      <c r="D17" s="35">
        <f>MAX(D14:D16)+1</f>
        <v>16</v>
      </c>
      <c r="E17" s="157" t="str">
        <f t="shared" ref="E17:E40" si="15">VLOOKUP(D17,名單,2,FALSE)</f>
        <v>Wei-Cheng Shen 沈威成</v>
      </c>
      <c r="F17" s="37" t="str">
        <f t="shared" ref="F17:F40" si="16">VLOOKUP(D17,名單,3,FALSE)</f>
        <v>ROC</v>
      </c>
      <c r="G17" s="85"/>
      <c r="H17" s="38"/>
      <c r="I17" s="39"/>
      <c r="J17" s="40"/>
      <c r="K17" s="178"/>
      <c r="L17" s="33">
        <f>L14+2</f>
        <v>10</v>
      </c>
      <c r="M17" s="34">
        <f>M14+basic!$A$3/60/24</f>
        <v>0.3166666666666666</v>
      </c>
      <c r="N17" s="35">
        <f>MAX(N14:N16)+1</f>
        <v>52</v>
      </c>
      <c r="O17" s="157" t="str">
        <f t="shared" si="13"/>
        <v>Shih-Chuan Tsou 鄒世權</v>
      </c>
      <c r="P17" s="37" t="str">
        <f t="shared" si="14"/>
        <v>ROC</v>
      </c>
      <c r="Q17" s="85"/>
      <c r="R17" s="38"/>
      <c r="S17" s="39"/>
      <c r="T17" s="40"/>
    </row>
    <row r="18" spans="1:20" x14ac:dyDescent="0.25">
      <c r="A18" s="178"/>
      <c r="B18" s="41"/>
      <c r="C18" s="18"/>
      <c r="D18" s="19">
        <f t="shared" si="4"/>
        <v>17</v>
      </c>
      <c r="E18" s="155" t="str">
        <f t="shared" si="15"/>
        <v xml:space="preserve">Kaito Kitazoe </v>
      </c>
      <c r="F18" s="21" t="str">
        <f t="shared" si="16"/>
        <v>JPN</v>
      </c>
      <c r="G18" s="83"/>
      <c r="H18" s="22"/>
      <c r="I18" s="23"/>
      <c r="J18" s="24"/>
      <c r="K18" s="178"/>
      <c r="L18" s="41"/>
      <c r="M18" s="18"/>
      <c r="N18" s="19">
        <f t="shared" si="10"/>
        <v>53</v>
      </c>
      <c r="O18" s="155" t="str">
        <f t="shared" si="13"/>
        <v>Wei-Yi Liu  劉威毅</v>
      </c>
      <c r="P18" s="21" t="str">
        <f t="shared" si="14"/>
        <v>ROC</v>
      </c>
      <c r="Q18" s="83"/>
      <c r="R18" s="22"/>
      <c r="S18" s="23"/>
      <c r="T18" s="24"/>
    </row>
    <row r="19" spans="1:20" x14ac:dyDescent="0.25">
      <c r="A19" s="178"/>
      <c r="B19" s="17"/>
      <c r="C19" s="26"/>
      <c r="D19" s="27">
        <f t="shared" si="4"/>
        <v>18</v>
      </c>
      <c r="E19" s="156" t="str">
        <f t="shared" si="15"/>
        <v>Hsiu-Chi Chang 張修齊</v>
      </c>
      <c r="F19" s="29" t="str">
        <f t="shared" si="16"/>
        <v>ROC</v>
      </c>
      <c r="G19" s="84"/>
      <c r="H19" s="30"/>
      <c r="I19" s="31"/>
      <c r="J19" s="32"/>
      <c r="K19" s="178"/>
      <c r="L19" s="17"/>
      <c r="M19" s="26"/>
      <c r="N19" s="27">
        <f t="shared" si="10"/>
        <v>54</v>
      </c>
      <c r="O19" s="156" t="str">
        <f t="shared" si="13"/>
        <v>Cheng-En Cheng 鄭丞恩</v>
      </c>
      <c r="P19" s="29" t="str">
        <f t="shared" si="14"/>
        <v>ROC</v>
      </c>
      <c r="Q19" s="84"/>
      <c r="R19" s="30"/>
      <c r="S19" s="31"/>
      <c r="T19" s="32"/>
    </row>
    <row r="20" spans="1:20" x14ac:dyDescent="0.25">
      <c r="A20" s="178"/>
      <c r="B20" s="33">
        <f>B17+2</f>
        <v>11</v>
      </c>
      <c r="C20" s="34">
        <f>C17+basic!$A$3/60/24</f>
        <v>0.32291666666666657</v>
      </c>
      <c r="D20" s="35">
        <f>MAX(D17:D19)+1</f>
        <v>19</v>
      </c>
      <c r="E20" s="157" t="str">
        <f t="shared" si="15"/>
        <v>Yi-Tong Chen 陳裔東</v>
      </c>
      <c r="F20" s="37" t="str">
        <f t="shared" si="16"/>
        <v>ROC</v>
      </c>
      <c r="G20" s="85"/>
      <c r="H20" s="38"/>
      <c r="I20" s="39"/>
      <c r="J20" s="40"/>
      <c r="K20" s="178"/>
      <c r="L20" s="33">
        <f>L17+2</f>
        <v>12</v>
      </c>
      <c r="M20" s="34">
        <f>M17+basic!$A$3/60/24</f>
        <v>0.32291666666666657</v>
      </c>
      <c r="N20" s="35">
        <f>MAX(N17:N19)+1</f>
        <v>55</v>
      </c>
      <c r="O20" s="157" t="str">
        <f t="shared" si="13"/>
        <v>Ting-Chia Chang 張庭嘉</v>
      </c>
      <c r="P20" s="37" t="str">
        <f t="shared" si="14"/>
        <v>ROC</v>
      </c>
      <c r="Q20" s="85"/>
      <c r="R20" s="38"/>
      <c r="S20" s="39"/>
      <c r="T20" s="40"/>
    </row>
    <row r="21" spans="1:20" x14ac:dyDescent="0.25">
      <c r="A21" s="178"/>
      <c r="B21" s="17"/>
      <c r="C21" s="18"/>
      <c r="D21" s="19">
        <f t="shared" si="4"/>
        <v>20</v>
      </c>
      <c r="E21" s="155" t="str">
        <f t="shared" si="15"/>
        <v>Koshi Fukuta</v>
      </c>
      <c r="F21" s="21" t="str">
        <f t="shared" si="16"/>
        <v>JPN</v>
      </c>
      <c r="G21" s="83"/>
      <c r="H21" s="22"/>
      <c r="I21" s="23"/>
      <c r="J21" s="24"/>
      <c r="K21" s="178"/>
      <c r="L21" s="17"/>
      <c r="M21" s="18"/>
      <c r="N21" s="19">
        <f t="shared" si="10"/>
        <v>56</v>
      </c>
      <c r="O21" s="155" t="str">
        <f t="shared" si="13"/>
        <v>Yen-Cheng Lai 賴彥丞</v>
      </c>
      <c r="P21" s="21" t="str">
        <f t="shared" si="14"/>
        <v>ROC</v>
      </c>
      <c r="Q21" s="83"/>
      <c r="R21" s="22"/>
      <c r="S21" s="23"/>
      <c r="T21" s="24"/>
    </row>
    <row r="22" spans="1:20" x14ac:dyDescent="0.25">
      <c r="A22" s="178"/>
      <c r="B22" s="25"/>
      <c r="C22" s="26"/>
      <c r="D22" s="27">
        <f t="shared" si="4"/>
        <v>21</v>
      </c>
      <c r="E22" s="156" t="str">
        <f t="shared" si="15"/>
        <v>William Lin 林為超</v>
      </c>
      <c r="F22" s="29" t="str">
        <f t="shared" si="16"/>
        <v>ROC</v>
      </c>
      <c r="G22" s="84"/>
      <c r="H22" s="30"/>
      <c r="I22" s="31"/>
      <c r="J22" s="32"/>
      <c r="K22" s="181"/>
      <c r="L22" s="25"/>
      <c r="M22" s="26"/>
      <c r="N22" s="27">
        <f t="shared" si="10"/>
        <v>57</v>
      </c>
      <c r="O22" s="156" t="str">
        <f t="shared" si="13"/>
        <v>Yu-Kai Yeh 葉宇愷</v>
      </c>
      <c r="P22" s="29" t="str">
        <f t="shared" si="14"/>
        <v>ROC</v>
      </c>
      <c r="Q22" s="84"/>
      <c r="R22" s="30"/>
      <c r="S22" s="31"/>
      <c r="T22" s="32"/>
    </row>
    <row r="23" spans="1:20" ht="16.149999999999999" customHeight="1" x14ac:dyDescent="0.25">
      <c r="A23" s="178"/>
      <c r="B23" s="33">
        <f>B20+2</f>
        <v>13</v>
      </c>
      <c r="C23" s="34">
        <f>C20+basic!$A$3/60/24</f>
        <v>0.32916666666666655</v>
      </c>
      <c r="D23" s="35">
        <f>MAX(D20:D22)+1</f>
        <v>22</v>
      </c>
      <c r="E23" s="157" t="str">
        <f t="shared" si="15"/>
        <v>Leon Philip D’Souza</v>
      </c>
      <c r="F23" s="37" t="str">
        <f t="shared" si="16"/>
        <v>HKG</v>
      </c>
      <c r="G23" s="85"/>
      <c r="H23" s="38"/>
      <c r="I23" s="39"/>
      <c r="J23" s="40"/>
      <c r="K23" s="177" t="s">
        <v>48</v>
      </c>
      <c r="L23" s="33">
        <f>L20+2</f>
        <v>14</v>
      </c>
      <c r="M23" s="34">
        <f>M20+basic!$A$3/60/24</f>
        <v>0.32916666666666655</v>
      </c>
      <c r="N23" s="35">
        <f>MAX(N20:N22)+1</f>
        <v>58</v>
      </c>
      <c r="O23" s="157" t="str">
        <f t="shared" si="13"/>
        <v>Hsiao-Han Huang 黃筱涵</v>
      </c>
      <c r="P23" s="37" t="str">
        <f t="shared" si="14"/>
        <v>ROC</v>
      </c>
      <c r="Q23" s="85"/>
      <c r="R23" s="38"/>
      <c r="S23" s="39"/>
      <c r="T23" s="40"/>
    </row>
    <row r="24" spans="1:20" x14ac:dyDescent="0.25">
      <c r="A24" s="178"/>
      <c r="B24" s="41"/>
      <c r="C24" s="18"/>
      <c r="D24" s="19">
        <f t="shared" si="4"/>
        <v>23</v>
      </c>
      <c r="E24" s="155" t="str">
        <f t="shared" si="15"/>
        <v xml:space="preserve">Aman Raj </v>
      </c>
      <c r="F24" s="21" t="str">
        <f t="shared" si="16"/>
        <v>IND</v>
      </c>
      <c r="G24" s="83"/>
      <c r="H24" s="22"/>
      <c r="I24" s="23"/>
      <c r="J24" s="24"/>
      <c r="K24" s="178"/>
      <c r="L24" s="41"/>
      <c r="M24" s="18"/>
      <c r="N24" s="19">
        <f t="shared" si="10"/>
        <v>59</v>
      </c>
      <c r="O24" s="155" t="str">
        <f t="shared" si="13"/>
        <v>Chi-Wen Young 楊棋文</v>
      </c>
      <c r="P24" s="21" t="str">
        <f t="shared" si="14"/>
        <v>ROC</v>
      </c>
      <c r="Q24" s="83"/>
      <c r="R24" s="22"/>
      <c r="S24" s="23"/>
      <c r="T24" s="24"/>
    </row>
    <row r="25" spans="1:20" x14ac:dyDescent="0.25">
      <c r="A25" s="178"/>
      <c r="B25" s="17"/>
      <c r="C25" s="26"/>
      <c r="D25" s="27">
        <f t="shared" si="4"/>
        <v>24</v>
      </c>
      <c r="E25" s="156" t="str">
        <f t="shared" si="15"/>
        <v>Yi-Tseng Huang  黃議增</v>
      </c>
      <c r="F25" s="29" t="str">
        <f t="shared" si="16"/>
        <v>ROC</v>
      </c>
      <c r="G25" s="84"/>
      <c r="H25" s="30"/>
      <c r="I25" s="31"/>
      <c r="J25" s="32"/>
      <c r="K25" s="178"/>
      <c r="L25" s="17"/>
      <c r="M25" s="26"/>
      <c r="N25" s="27">
        <f t="shared" si="10"/>
        <v>60</v>
      </c>
      <c r="O25" s="156" t="str">
        <f t="shared" si="13"/>
        <v>Ching-Tzu Chen 陳靜慈</v>
      </c>
      <c r="P25" s="29" t="str">
        <f t="shared" si="14"/>
        <v>ROC</v>
      </c>
      <c r="Q25" s="84"/>
      <c r="R25" s="30"/>
      <c r="S25" s="31"/>
      <c r="T25" s="32"/>
    </row>
    <row r="26" spans="1:20" ht="16.5" customHeight="1" x14ac:dyDescent="0.25">
      <c r="A26" s="178"/>
      <c r="B26" s="33">
        <f>B23+2</f>
        <v>15</v>
      </c>
      <c r="C26" s="34">
        <f>C23+basic!$A$3/60/24</f>
        <v>0.33541666666666653</v>
      </c>
      <c r="D26" s="35">
        <f>MAX(D23:D25)+1</f>
        <v>25</v>
      </c>
      <c r="E26" s="157" t="str">
        <f t="shared" si="15"/>
        <v>Matthew Cheung</v>
      </c>
      <c r="F26" s="37" t="str">
        <f t="shared" si="16"/>
        <v>HKG</v>
      </c>
      <c r="G26" s="85"/>
      <c r="H26" s="38"/>
      <c r="I26" s="39"/>
      <c r="J26" s="40"/>
      <c r="K26" s="178"/>
      <c r="L26" s="33">
        <f>L23+2</f>
        <v>16</v>
      </c>
      <c r="M26" s="34">
        <f>M23+basic!$A$3/60/24</f>
        <v>0.33541666666666653</v>
      </c>
      <c r="N26" s="35">
        <f>MAX(N23:N25)+1</f>
        <v>61</v>
      </c>
      <c r="O26" s="157" t="str">
        <f t="shared" si="13"/>
        <v>Yu-Ping Huang 黃郁評</v>
      </c>
      <c r="P26" s="37" t="str">
        <f t="shared" si="14"/>
        <v>ROC</v>
      </c>
      <c r="Q26" s="85"/>
      <c r="R26" s="38"/>
      <c r="S26" s="39"/>
      <c r="T26" s="40"/>
    </row>
    <row r="27" spans="1:20" x14ac:dyDescent="0.25">
      <c r="A27" s="178"/>
      <c r="B27" s="17"/>
      <c r="C27" s="18"/>
      <c r="D27" s="19">
        <f t="shared" si="4"/>
        <v>26</v>
      </c>
      <c r="E27" s="155" t="str">
        <f t="shared" si="15"/>
        <v>Viraaj Madappa</v>
      </c>
      <c r="F27" s="21" t="str">
        <f t="shared" si="16"/>
        <v>IND</v>
      </c>
      <c r="G27" s="83"/>
      <c r="H27" s="22"/>
      <c r="I27" s="23"/>
      <c r="J27" s="24"/>
      <c r="K27" s="178"/>
      <c r="L27" s="17"/>
      <c r="M27" s="18"/>
      <c r="N27" s="19">
        <f t="shared" si="10"/>
        <v>62</v>
      </c>
      <c r="O27" s="155" t="str">
        <f t="shared" si="13"/>
        <v xml:space="preserve">Song Yi Lin </v>
      </c>
      <c r="P27" s="21" t="str">
        <f t="shared" si="14"/>
        <v>CHN</v>
      </c>
      <c r="Q27" s="83"/>
      <c r="R27" s="22"/>
      <c r="S27" s="23"/>
      <c r="T27" s="24"/>
    </row>
    <row r="28" spans="1:20" x14ac:dyDescent="0.25">
      <c r="A28" s="178"/>
      <c r="B28" s="25"/>
      <c r="C28" s="26"/>
      <c r="D28" s="27">
        <f t="shared" si="4"/>
        <v>27</v>
      </c>
      <c r="E28" s="155" t="str">
        <f t="shared" si="15"/>
        <v>Li-Hsin Chung 鍾力新</v>
      </c>
      <c r="F28" s="21" t="str">
        <f t="shared" si="16"/>
        <v>ROC</v>
      </c>
      <c r="G28" s="83"/>
      <c r="H28" s="22"/>
      <c r="I28" s="23"/>
      <c r="J28" s="24"/>
      <c r="K28" s="178"/>
      <c r="L28" s="25"/>
      <c r="M28" s="26"/>
      <c r="N28" s="27">
        <f t="shared" si="10"/>
        <v>63</v>
      </c>
      <c r="O28" s="155" t="str">
        <f t="shared" si="13"/>
        <v>Kuan-Yu Lin 林冠妤</v>
      </c>
      <c r="P28" s="21" t="str">
        <f t="shared" si="14"/>
        <v>ROC</v>
      </c>
      <c r="Q28" s="83"/>
      <c r="R28" s="22"/>
      <c r="S28" s="23"/>
      <c r="T28" s="24"/>
    </row>
    <row r="29" spans="1:20" x14ac:dyDescent="0.25">
      <c r="A29" s="178"/>
      <c r="B29" s="33">
        <f>B26+2</f>
        <v>17</v>
      </c>
      <c r="C29" s="34">
        <f>C26+basic!$A$3/60/24</f>
        <v>0.34166666666666651</v>
      </c>
      <c r="D29" s="35">
        <f>MAX(D26:D28)+1</f>
        <v>28</v>
      </c>
      <c r="E29" s="157" t="str">
        <f t="shared" si="15"/>
        <v>Marc Ong</v>
      </c>
      <c r="F29" s="37" t="str">
        <f t="shared" si="16"/>
        <v>SIN</v>
      </c>
      <c r="G29" s="85"/>
      <c r="H29" s="38"/>
      <c r="I29" s="39"/>
      <c r="J29" s="40"/>
      <c r="K29" s="178"/>
      <c r="L29" s="33">
        <f>L26+2</f>
        <v>18</v>
      </c>
      <c r="M29" s="34">
        <f>M26+basic!$A$3/60/24</f>
        <v>0.34166666666666651</v>
      </c>
      <c r="N29" s="35">
        <f>MAX(N26:N28)+1</f>
        <v>64</v>
      </c>
      <c r="O29" s="157" t="str">
        <f t="shared" si="13"/>
        <v>Hsin-En Tsai 蔡欣恩</v>
      </c>
      <c r="P29" s="37" t="str">
        <f t="shared" si="14"/>
        <v>ROC</v>
      </c>
      <c r="Q29" s="85"/>
      <c r="R29" s="38"/>
      <c r="S29" s="39"/>
      <c r="T29" s="40"/>
    </row>
    <row r="30" spans="1:20" x14ac:dyDescent="0.25">
      <c r="A30" s="178"/>
      <c r="B30" s="41"/>
      <c r="C30" s="18"/>
      <c r="D30" s="19">
        <f t="shared" si="4"/>
        <v>29</v>
      </c>
      <c r="E30" s="155" t="str">
        <f t="shared" si="15"/>
        <v>Jan Philip de Claro</v>
      </c>
      <c r="F30" s="21" t="str">
        <f t="shared" si="16"/>
        <v>PHI</v>
      </c>
      <c r="G30" s="83"/>
      <c r="H30" s="22"/>
      <c r="I30" s="23"/>
      <c r="J30" s="24"/>
      <c r="K30" s="178"/>
      <c r="L30" s="41"/>
      <c r="M30" s="18"/>
      <c r="N30" s="19">
        <v>66</v>
      </c>
      <c r="O30" s="155" t="str">
        <f t="shared" si="13"/>
        <v>Yi-Han Wang 王薏涵</v>
      </c>
      <c r="P30" s="21" t="str">
        <f t="shared" si="14"/>
        <v>ROC</v>
      </c>
      <c r="Q30" s="83"/>
      <c r="R30" s="22"/>
      <c r="S30" s="23"/>
      <c r="T30" s="24"/>
    </row>
    <row r="31" spans="1:20" x14ac:dyDescent="0.25">
      <c r="A31" s="178"/>
      <c r="B31" s="17"/>
      <c r="C31" s="26"/>
      <c r="D31" s="27">
        <f t="shared" si="4"/>
        <v>30</v>
      </c>
      <c r="E31" s="156" t="str">
        <f t="shared" si="15"/>
        <v>Yung-Hua Liu 劉永華</v>
      </c>
      <c r="F31" s="29" t="str">
        <f t="shared" si="16"/>
        <v>ROC</v>
      </c>
      <c r="G31" s="84"/>
      <c r="H31" s="30"/>
      <c r="I31" s="31"/>
      <c r="J31" s="32"/>
      <c r="K31" s="178"/>
      <c r="L31" s="17"/>
      <c r="M31" s="26"/>
      <c r="N31" s="27"/>
      <c r="O31" s="156"/>
      <c r="P31" s="29"/>
      <c r="Q31" s="84"/>
      <c r="R31" s="30"/>
      <c r="S31" s="31"/>
      <c r="T31" s="32"/>
    </row>
    <row r="32" spans="1:20" x14ac:dyDescent="0.25">
      <c r="A32" s="178"/>
      <c r="B32" s="33">
        <f>B29+2</f>
        <v>19</v>
      </c>
      <c r="C32" s="34">
        <f>C29+basic!$A$3/60/24</f>
        <v>0.34791666666666649</v>
      </c>
      <c r="D32" s="35">
        <f>MAX(D29:D31)+1</f>
        <v>31</v>
      </c>
      <c r="E32" s="157" t="str">
        <f t="shared" si="15"/>
        <v>Gregory Foo</v>
      </c>
      <c r="F32" s="37" t="str">
        <f t="shared" si="16"/>
        <v>SIN</v>
      </c>
      <c r="G32" s="85"/>
      <c r="H32" s="38"/>
      <c r="I32" s="39"/>
      <c r="J32" s="40"/>
      <c r="K32" s="178"/>
      <c r="L32" s="33">
        <f>L29+2</f>
        <v>20</v>
      </c>
      <c r="M32" s="34">
        <f>M29+basic!$A$3/60/24</f>
        <v>0.34791666666666649</v>
      </c>
      <c r="N32" s="35">
        <f>MAX(N29:N31)+1</f>
        <v>67</v>
      </c>
      <c r="O32" s="157" t="str">
        <f t="shared" si="13"/>
        <v>Mimi Ho</v>
      </c>
      <c r="P32" s="37" t="str">
        <f t="shared" si="14"/>
        <v>HKG</v>
      </c>
      <c r="Q32" s="85"/>
      <c r="R32" s="38"/>
      <c r="S32" s="39"/>
      <c r="T32" s="40"/>
    </row>
    <row r="33" spans="1:20" x14ac:dyDescent="0.25">
      <c r="A33" s="178"/>
      <c r="B33" s="17"/>
      <c r="C33" s="18"/>
      <c r="D33" s="19">
        <f t="shared" si="4"/>
        <v>32</v>
      </c>
      <c r="E33" s="155" t="str">
        <f t="shared" si="15"/>
        <v>Lloyd Jefferson Go</v>
      </c>
      <c r="F33" s="21" t="str">
        <f t="shared" si="16"/>
        <v>PHI</v>
      </c>
      <c r="G33" s="83"/>
      <c r="H33" s="22"/>
      <c r="I33" s="23"/>
      <c r="J33" s="24"/>
      <c r="K33" s="178"/>
      <c r="L33" s="17"/>
      <c r="M33" s="18"/>
      <c r="N33" s="19">
        <f t="shared" si="10"/>
        <v>68</v>
      </c>
      <c r="O33" s="155" t="str">
        <f t="shared" si="13"/>
        <v>Kristine Torralba</v>
      </c>
      <c r="P33" s="21" t="str">
        <f t="shared" si="14"/>
        <v>PHI</v>
      </c>
      <c r="Q33" s="83"/>
      <c r="R33" s="22"/>
      <c r="S33" s="23"/>
      <c r="T33" s="24"/>
    </row>
    <row r="34" spans="1:20" x14ac:dyDescent="0.25">
      <c r="A34" s="178"/>
      <c r="B34" s="25"/>
      <c r="C34" s="26"/>
      <c r="D34" s="27">
        <f t="shared" si="4"/>
        <v>33</v>
      </c>
      <c r="E34" s="156" t="str">
        <f t="shared" si="15"/>
        <v>Yun-Jui Liao 廖云瑞</v>
      </c>
      <c r="F34" s="29" t="str">
        <f t="shared" si="16"/>
        <v>ROC</v>
      </c>
      <c r="G34" s="84"/>
      <c r="H34" s="30"/>
      <c r="I34" s="31"/>
      <c r="J34" s="32"/>
      <c r="K34" s="178"/>
      <c r="L34" s="25"/>
      <c r="M34" s="26"/>
      <c r="N34" s="27">
        <f t="shared" si="10"/>
        <v>69</v>
      </c>
      <c r="O34" s="156" t="str">
        <f t="shared" si="13"/>
        <v>Ke-Ai Liu 劉可艾</v>
      </c>
      <c r="P34" s="29" t="str">
        <f t="shared" si="14"/>
        <v>ROC</v>
      </c>
      <c r="Q34" s="84"/>
      <c r="R34" s="30"/>
      <c r="S34" s="31"/>
      <c r="T34" s="32"/>
    </row>
    <row r="35" spans="1:20" x14ac:dyDescent="0.25">
      <c r="A35" s="178"/>
      <c r="B35" s="33">
        <f>B32+2</f>
        <v>21</v>
      </c>
      <c r="C35" s="34">
        <f>C32+basic!$A$3/60/24</f>
        <v>0.35416666666666646</v>
      </c>
      <c r="D35" s="35">
        <f>MAX(D32:D34)+1</f>
        <v>34</v>
      </c>
      <c r="E35" s="157" t="str">
        <f t="shared" si="15"/>
        <v>Sangchai Kaewcharoen</v>
      </c>
      <c r="F35" s="37" t="str">
        <f t="shared" si="16"/>
        <v>THA</v>
      </c>
      <c r="G35" s="85"/>
      <c r="H35" s="38"/>
      <c r="I35" s="39"/>
      <c r="J35" s="40"/>
      <c r="K35" s="178"/>
      <c r="L35" s="33">
        <f>L32+2</f>
        <v>22</v>
      </c>
      <c r="M35" s="34">
        <f>M32+basic!$A$3/60/24</f>
        <v>0.35416666666666646</v>
      </c>
      <c r="N35" s="35">
        <f>MAX(N32:N34)+1</f>
        <v>70</v>
      </c>
      <c r="O35" s="157" t="str">
        <f t="shared" si="13"/>
        <v>Isabella Leung</v>
      </c>
      <c r="P35" s="37" t="str">
        <f t="shared" si="14"/>
        <v>HKG</v>
      </c>
      <c r="Q35" s="85"/>
      <c r="R35" s="38"/>
      <c r="S35" s="39"/>
      <c r="T35" s="40"/>
    </row>
    <row r="36" spans="1:20" x14ac:dyDescent="0.25">
      <c r="A36" s="178"/>
      <c r="B36" s="41"/>
      <c r="C36" s="18"/>
      <c r="D36" s="19">
        <f t="shared" si="4"/>
        <v>35</v>
      </c>
      <c r="E36" s="158" t="str">
        <f t="shared" si="15"/>
        <v>Sun-Yi Lu 呂孫儀</v>
      </c>
      <c r="F36" s="21" t="str">
        <f t="shared" si="16"/>
        <v>ROC</v>
      </c>
      <c r="G36" s="83"/>
      <c r="H36" s="22"/>
      <c r="I36" s="23"/>
      <c r="J36" s="24"/>
      <c r="K36" s="178"/>
      <c r="L36" s="41"/>
      <c r="M36" s="18"/>
      <c r="N36" s="19">
        <f t="shared" si="10"/>
        <v>71</v>
      </c>
      <c r="O36" s="158" t="str">
        <f t="shared" si="13"/>
        <v>Lorenz Kayla Nocum</v>
      </c>
      <c r="P36" s="21" t="str">
        <f t="shared" si="14"/>
        <v>PHI</v>
      </c>
      <c r="Q36" s="83"/>
      <c r="R36" s="22"/>
      <c r="S36" s="23"/>
      <c r="T36" s="24"/>
    </row>
    <row r="37" spans="1:20" x14ac:dyDescent="0.25">
      <c r="A37" s="178"/>
      <c r="B37" s="17"/>
      <c r="C37" s="26"/>
      <c r="D37" s="27">
        <f t="shared" si="4"/>
        <v>36</v>
      </c>
      <c r="E37" s="156" t="str">
        <f t="shared" si="15"/>
        <v>Alvin Hiew</v>
      </c>
      <c r="F37" s="29" t="str">
        <f t="shared" si="16"/>
        <v>MAS</v>
      </c>
      <c r="G37" s="84"/>
      <c r="H37" s="30"/>
      <c r="I37" s="31"/>
      <c r="J37" s="32"/>
      <c r="K37" s="178"/>
      <c r="L37" s="17"/>
      <c r="M37" s="26"/>
      <c r="N37" s="27">
        <f t="shared" si="10"/>
        <v>72</v>
      </c>
      <c r="O37" s="156" t="str">
        <f t="shared" si="13"/>
        <v>Tsai-Ching Tseng 曾彩晴</v>
      </c>
      <c r="P37" s="29" t="str">
        <f t="shared" si="14"/>
        <v>ROC</v>
      </c>
      <c r="Q37" s="84"/>
      <c r="R37" s="30"/>
      <c r="S37" s="31"/>
      <c r="T37" s="32"/>
    </row>
    <row r="38" spans="1:20" x14ac:dyDescent="0.25">
      <c r="A38" s="178"/>
      <c r="B38" s="33">
        <f>B35+2</f>
        <v>23</v>
      </c>
      <c r="C38" s="34">
        <f>C35+basic!$A$3/60/24</f>
        <v>0.36041666666666644</v>
      </c>
      <c r="D38" s="35">
        <f>MAX(D35:D37)+1</f>
        <v>37</v>
      </c>
      <c r="E38" s="159" t="str">
        <f t="shared" si="15"/>
        <v>Sadom Kaewkanjana</v>
      </c>
      <c r="F38" s="37" t="str">
        <f t="shared" si="16"/>
        <v>THA</v>
      </c>
      <c r="G38" s="85"/>
      <c r="H38" s="38"/>
      <c r="I38" s="39"/>
      <c r="J38" s="40"/>
      <c r="K38" s="178"/>
      <c r="L38" s="33">
        <f>L35+2</f>
        <v>24</v>
      </c>
      <c r="M38" s="34">
        <f>M35+basic!$A$3/60/24</f>
        <v>0.36041666666666644</v>
      </c>
      <c r="N38" s="35">
        <f>MAX(N35:N37)+1</f>
        <v>73</v>
      </c>
      <c r="O38" s="157" t="str">
        <f t="shared" si="13"/>
        <v>Pimnipa Panthong</v>
      </c>
      <c r="P38" s="37" t="str">
        <f t="shared" si="14"/>
        <v>THA</v>
      </c>
      <c r="Q38" s="85"/>
      <c r="R38" s="38"/>
      <c r="S38" s="39"/>
      <c r="T38" s="40"/>
    </row>
    <row r="39" spans="1:20" x14ac:dyDescent="0.25">
      <c r="A39" s="178"/>
      <c r="B39" s="17"/>
      <c r="C39" s="18"/>
      <c r="D39" s="19">
        <f t="shared" si="4"/>
        <v>38</v>
      </c>
      <c r="E39" s="158" t="str">
        <f t="shared" si="15"/>
        <v>Han-Ting Chiu 邱瀚霆</v>
      </c>
      <c r="F39" s="160" t="str">
        <f t="shared" si="16"/>
        <v>ROC</v>
      </c>
      <c r="G39" s="83"/>
      <c r="H39" s="22"/>
      <c r="I39" s="23"/>
      <c r="J39" s="24"/>
      <c r="K39" s="178"/>
      <c r="L39" s="17"/>
      <c r="M39" s="18"/>
      <c r="N39" s="19">
        <f t="shared" si="10"/>
        <v>74</v>
      </c>
      <c r="O39" s="155" t="str">
        <f t="shared" si="13"/>
        <v>Jo-Hua Hung 洪若華</v>
      </c>
      <c r="P39" s="21" t="str">
        <f t="shared" si="14"/>
        <v>ROC</v>
      </c>
      <c r="Q39" s="83"/>
      <c r="R39" s="22"/>
      <c r="S39" s="23"/>
      <c r="T39" s="24"/>
    </row>
    <row r="40" spans="1:20" x14ac:dyDescent="0.25">
      <c r="A40" s="178"/>
      <c r="B40" s="25"/>
      <c r="C40" s="26"/>
      <c r="D40" s="27">
        <f t="shared" si="4"/>
        <v>39</v>
      </c>
      <c r="E40" s="156" t="str">
        <f t="shared" si="15"/>
        <v>Chan Tuck Soon</v>
      </c>
      <c r="F40" s="29" t="str">
        <f t="shared" si="16"/>
        <v>MAS</v>
      </c>
      <c r="G40" s="84"/>
      <c r="H40" s="30"/>
      <c r="I40" s="31"/>
      <c r="J40" s="32"/>
      <c r="K40" s="178"/>
      <c r="L40" s="25"/>
      <c r="M40" s="26"/>
      <c r="N40" s="27">
        <f t="shared" si="10"/>
        <v>75</v>
      </c>
      <c r="O40" s="156" t="str">
        <f t="shared" si="13"/>
        <v>Winnie Ng Yu Xuan</v>
      </c>
      <c r="P40" s="29" t="str">
        <f t="shared" si="14"/>
        <v>MAS</v>
      </c>
      <c r="Q40" s="84"/>
      <c r="R40" s="30"/>
      <c r="S40" s="31"/>
      <c r="T40" s="32"/>
    </row>
    <row r="41" spans="1:20" x14ac:dyDescent="0.25">
      <c r="A41" s="178"/>
      <c r="B41" s="33"/>
      <c r="C41" s="34"/>
      <c r="D41" s="35"/>
      <c r="E41" s="157"/>
      <c r="F41" s="37"/>
      <c r="G41" s="85"/>
      <c r="H41" s="38"/>
      <c r="I41" s="39"/>
      <c r="J41" s="40"/>
      <c r="K41" s="178"/>
      <c r="L41" s="33">
        <f>L38+1</f>
        <v>25</v>
      </c>
      <c r="M41" s="34">
        <f>M38+basic!$A$3/60/24</f>
        <v>0.36666666666666642</v>
      </c>
      <c r="N41" s="35">
        <f>MAX(N38:N40)+1</f>
        <v>76</v>
      </c>
      <c r="O41" s="157" t="str">
        <f t="shared" si="13"/>
        <v>Suthavee Chanachai</v>
      </c>
      <c r="P41" s="37" t="str">
        <f t="shared" si="14"/>
        <v>THA</v>
      </c>
      <c r="Q41" s="85"/>
      <c r="R41" s="38"/>
      <c r="S41" s="39"/>
      <c r="T41" s="40"/>
    </row>
    <row r="42" spans="1:20" x14ac:dyDescent="0.25">
      <c r="A42" s="178"/>
      <c r="B42" s="17"/>
      <c r="C42" s="18"/>
      <c r="D42" s="19"/>
      <c r="E42" s="155"/>
      <c r="F42" s="21"/>
      <c r="G42" s="83"/>
      <c r="H42" s="22"/>
      <c r="I42" s="23"/>
      <c r="J42" s="24"/>
      <c r="K42" s="178"/>
      <c r="L42" s="17"/>
      <c r="M42" s="18"/>
      <c r="N42" s="19">
        <f t="shared" si="10"/>
        <v>77</v>
      </c>
      <c r="O42" s="155" t="str">
        <f t="shared" si="13"/>
        <v>Jie-En Lin  林婕恩</v>
      </c>
      <c r="P42" s="21" t="str">
        <f t="shared" si="14"/>
        <v>ROC</v>
      </c>
      <c r="Q42" s="83"/>
      <c r="R42" s="22"/>
      <c r="S42" s="23"/>
      <c r="T42" s="24"/>
    </row>
    <row r="43" spans="1:20" x14ac:dyDescent="0.25">
      <c r="A43" s="178"/>
      <c r="B43" s="25"/>
      <c r="C43" s="26"/>
      <c r="D43" s="27"/>
      <c r="E43" s="156"/>
      <c r="F43" s="29"/>
      <c r="G43" s="84"/>
      <c r="H43" s="30"/>
      <c r="I43" s="31"/>
      <c r="J43" s="32"/>
      <c r="K43" s="178"/>
      <c r="L43" s="25"/>
      <c r="M43" s="26"/>
      <c r="N43" s="27">
        <f t="shared" si="10"/>
        <v>78</v>
      </c>
      <c r="O43" s="156" t="str">
        <f t="shared" si="13"/>
        <v>Ashley Lau Jen Wen</v>
      </c>
      <c r="P43" s="29" t="str">
        <f t="shared" si="14"/>
        <v>MAS</v>
      </c>
      <c r="Q43" s="84"/>
      <c r="R43" s="30"/>
      <c r="S43" s="31"/>
      <c r="T43" s="32"/>
    </row>
    <row r="44" spans="1:20" x14ac:dyDescent="0.25">
      <c r="A44" s="178"/>
      <c r="B44" s="33"/>
      <c r="C44" s="34"/>
      <c r="D44" s="35"/>
      <c r="E44" s="36"/>
      <c r="F44" s="37"/>
      <c r="G44" s="85"/>
      <c r="H44" s="38"/>
      <c r="I44" s="39"/>
      <c r="J44" s="40"/>
      <c r="K44" s="178"/>
      <c r="L44" s="33"/>
      <c r="M44" s="34"/>
      <c r="N44" s="35"/>
      <c r="O44" s="36"/>
      <c r="P44" s="37"/>
      <c r="Q44" s="85"/>
      <c r="R44" s="38"/>
      <c r="S44" s="39"/>
      <c r="T44" s="40"/>
    </row>
    <row r="45" spans="1:20" x14ac:dyDescent="0.25">
      <c r="A45" s="178"/>
      <c r="B45" s="41"/>
      <c r="C45" s="18"/>
      <c r="D45" s="19"/>
      <c r="E45" s="20"/>
      <c r="F45" s="21"/>
      <c r="G45" s="83"/>
      <c r="H45" s="22"/>
      <c r="I45" s="23"/>
      <c r="J45" s="24"/>
      <c r="K45" s="178"/>
      <c r="L45" s="17"/>
      <c r="M45" s="18"/>
      <c r="N45" s="19"/>
      <c r="O45" s="20"/>
      <c r="P45" s="21"/>
      <c r="Q45" s="83"/>
      <c r="R45" s="22"/>
      <c r="S45" s="23"/>
      <c r="T45" s="24"/>
    </row>
    <row r="46" spans="1:20" x14ac:dyDescent="0.25">
      <c r="A46" s="178"/>
      <c r="B46" s="17"/>
      <c r="C46" s="26"/>
      <c r="D46" s="27"/>
      <c r="E46" s="28"/>
      <c r="F46" s="29"/>
      <c r="G46" s="84"/>
      <c r="H46" s="30"/>
      <c r="I46" s="31"/>
      <c r="J46" s="32"/>
      <c r="K46" s="178"/>
      <c r="L46" s="25"/>
      <c r="M46" s="26"/>
      <c r="N46" s="27"/>
      <c r="O46" s="28"/>
      <c r="P46" s="29"/>
      <c r="Q46" s="84"/>
      <c r="R46" s="30"/>
      <c r="S46" s="31"/>
      <c r="T46" s="32"/>
    </row>
    <row r="47" spans="1:20" x14ac:dyDescent="0.25">
      <c r="A47" s="178"/>
      <c r="B47" s="33"/>
      <c r="C47" s="34"/>
      <c r="D47" s="35"/>
      <c r="E47" s="36"/>
      <c r="F47" s="37"/>
      <c r="G47" s="85"/>
      <c r="H47" s="38"/>
      <c r="I47" s="39"/>
      <c r="J47" s="40"/>
      <c r="K47" s="178"/>
      <c r="L47" s="33"/>
      <c r="M47" s="34"/>
      <c r="N47" s="35"/>
      <c r="O47" s="36"/>
      <c r="P47" s="37"/>
      <c r="Q47" s="85"/>
      <c r="R47" s="38"/>
      <c r="S47" s="39"/>
      <c r="T47" s="40"/>
    </row>
    <row r="48" spans="1:20" x14ac:dyDescent="0.25">
      <c r="A48" s="178"/>
      <c r="B48" s="41"/>
      <c r="C48" s="18"/>
      <c r="D48" s="19"/>
      <c r="E48" s="20"/>
      <c r="F48" s="21"/>
      <c r="G48" s="83"/>
      <c r="H48" s="22"/>
      <c r="I48" s="23"/>
      <c r="J48" s="24"/>
      <c r="K48" s="178"/>
      <c r="L48" s="17"/>
      <c r="M48" s="18"/>
      <c r="N48" s="19"/>
      <c r="O48" s="20"/>
      <c r="P48" s="21"/>
      <c r="Q48" s="83"/>
      <c r="R48" s="22"/>
      <c r="S48" s="23"/>
      <c r="T48" s="24"/>
    </row>
    <row r="49" spans="1:20" ht="17.25" thickBot="1" x14ac:dyDescent="0.3">
      <c r="A49" s="179"/>
      <c r="B49" s="17"/>
      <c r="C49" s="26"/>
      <c r="D49" s="27"/>
      <c r="E49" s="28"/>
      <c r="F49" s="29"/>
      <c r="G49" s="84"/>
      <c r="H49" s="30"/>
      <c r="I49" s="31"/>
      <c r="J49" s="32"/>
      <c r="K49" s="179"/>
      <c r="L49" s="25"/>
      <c r="M49" s="26"/>
      <c r="N49" s="27"/>
      <c r="O49" s="28"/>
      <c r="P49" s="29"/>
      <c r="Q49" s="84"/>
      <c r="R49" s="30"/>
      <c r="S49" s="31"/>
      <c r="T49" s="32"/>
    </row>
    <row r="50" spans="1:20" x14ac:dyDescent="0.25">
      <c r="A50" s="171" t="s">
        <v>0</v>
      </c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</row>
  </sheetData>
  <sheetProtection password="EB6B" sheet="1" objects="1" scenarios="1"/>
  <mergeCells count="9">
    <mergeCell ref="A50:T50"/>
    <mergeCell ref="A1:T1"/>
    <mergeCell ref="A2:T2"/>
    <mergeCell ref="A3:G3"/>
    <mergeCell ref="B4:E4"/>
    <mergeCell ref="L4:O4"/>
    <mergeCell ref="K23:K49"/>
    <mergeCell ref="K5:K22"/>
    <mergeCell ref="A5:A49"/>
  </mergeCells>
  <phoneticPr fontId="2" type="noConversion"/>
  <conditionalFormatting sqref="Q5:T43 G5:J49">
    <cfRule type="cellIs" dxfId="21" priority="7" operator="lessThan">
      <formula>72</formula>
    </cfRule>
    <cfRule type="cellIs" dxfId="20" priority="8" operator="equal">
      <formula>72</formula>
    </cfRule>
  </conditionalFormatting>
  <conditionalFormatting sqref="Q44:T46">
    <cfRule type="cellIs" dxfId="19" priority="5" operator="lessThan">
      <formula>72</formula>
    </cfRule>
    <cfRule type="cellIs" dxfId="18" priority="6" operator="equal">
      <formula>72</formula>
    </cfRule>
  </conditionalFormatting>
  <conditionalFormatting sqref="Q47:T49">
    <cfRule type="cellIs" dxfId="17" priority="1" operator="lessThan">
      <formula>72</formula>
    </cfRule>
    <cfRule type="cellIs" dxfId="16" priority="2" operator="equal">
      <formula>72</formula>
    </cfRule>
  </conditionalFormatting>
  <printOptions horizontalCentered="1"/>
  <pageMargins left="0" right="0" top="0.74803149606299213" bottom="0.74803149606299213" header="0.31496062992125984" footer="0.31496062992125984"/>
  <pageSetup paperSize="9" scale="80" orientation="portrait" horizontalDpi="4294967293" verticalDpi="4294967293" r:id="rId1"/>
  <ignoredErrors>
    <ignoredError sqref="D12:D40 N8:N29 N32:N4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workbookViewId="0">
      <selection activeCell="E29" sqref="E29"/>
    </sheetView>
  </sheetViews>
  <sheetFormatPr defaultRowHeight="16.5" x14ac:dyDescent="0.25"/>
  <cols>
    <col min="1" max="1" width="2.875" customWidth="1"/>
    <col min="2" max="2" width="3.375" customWidth="1"/>
    <col min="3" max="3" width="6.625" customWidth="1"/>
    <col min="4" max="4" width="3.625" customWidth="1"/>
    <col min="5" max="5" width="20.625" customWidth="1"/>
    <col min="6" max="6" width="7.625" customWidth="1"/>
    <col min="7" max="9" width="3.875" customWidth="1"/>
    <col min="10" max="10" width="4.5" customWidth="1"/>
    <col min="11" max="11" width="2.875" customWidth="1"/>
    <col min="12" max="12" width="3.375" customWidth="1"/>
    <col min="13" max="13" width="6.625" customWidth="1"/>
    <col min="14" max="14" width="3.625" customWidth="1"/>
    <col min="15" max="15" width="20.625" customWidth="1"/>
    <col min="16" max="16" width="6.625" customWidth="1"/>
    <col min="17" max="19" width="3.875" customWidth="1"/>
    <col min="20" max="20" width="4.5" customWidth="1"/>
  </cols>
  <sheetData>
    <row r="1" spans="1:20" ht="24" customHeight="1" x14ac:dyDescent="0.3">
      <c r="A1" s="172" t="str">
        <f>'R1'!A1:T1</f>
        <v xml:space="preserve">　　2015年台灣業餘高爾夫錦標賽 /2015 TAIWAN  AMATEUR GOLF CHAMPIONSHIP  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</row>
    <row r="2" spans="1:20" ht="24" customHeight="1" x14ac:dyDescent="0.25">
      <c r="A2" s="173" t="s">
        <v>16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</row>
    <row r="3" spans="1:20" x14ac:dyDescent="0.25">
      <c r="A3" s="174" t="s">
        <v>57</v>
      </c>
      <c r="B3" s="174"/>
      <c r="C3" s="174"/>
      <c r="D3" s="174"/>
      <c r="E3" s="174"/>
      <c r="F3" s="174"/>
      <c r="G3" s="174"/>
      <c r="H3" s="1"/>
      <c r="I3" s="2"/>
      <c r="J3" s="3"/>
      <c r="K3" s="3"/>
      <c r="L3" s="146" t="str">
        <f>'R1'!L3</f>
        <v>地點：揚昇高爾夫鄉村俱樂部 Sunrise Golf &amp; Country Club</v>
      </c>
      <c r="M3" s="146"/>
      <c r="N3" s="146"/>
      <c r="O3" s="146"/>
      <c r="P3" s="146"/>
      <c r="Q3" s="146"/>
      <c r="R3" s="146"/>
      <c r="S3" s="146"/>
      <c r="T3" s="2"/>
    </row>
    <row r="4" spans="1:20" ht="16.899999999999999" thickBot="1" x14ac:dyDescent="0.35">
      <c r="A4" s="2"/>
      <c r="B4" s="175" t="s">
        <v>2</v>
      </c>
      <c r="C4" s="175"/>
      <c r="D4" s="175"/>
      <c r="E4" s="175"/>
      <c r="F4" s="4"/>
      <c r="G4" s="5"/>
      <c r="H4" s="6"/>
      <c r="I4" s="6"/>
      <c r="J4" s="2"/>
      <c r="K4" s="7"/>
      <c r="L4" s="176" t="s">
        <v>3</v>
      </c>
      <c r="M4" s="176"/>
      <c r="N4" s="176"/>
      <c r="O4" s="176"/>
      <c r="P4" s="8"/>
      <c r="Q4" s="8"/>
      <c r="R4" s="6"/>
      <c r="S4" s="6"/>
      <c r="T4" s="6"/>
    </row>
    <row r="5" spans="1:20" ht="16.5" customHeight="1" x14ac:dyDescent="0.25">
      <c r="A5" s="182" t="s">
        <v>17</v>
      </c>
      <c r="B5" s="9">
        <v>1</v>
      </c>
      <c r="C5" s="10">
        <f>basic!$A$2</f>
        <v>0.29166666666666669</v>
      </c>
      <c r="D5" s="11">
        <f>'R1'!N41</f>
        <v>76</v>
      </c>
      <c r="E5" s="55" t="str">
        <f t="shared" ref="E5:G14" si="0">IF($D5="","",VLOOKUP($D5,名單,COLUMN()-3,FALSE))</f>
        <v>Suthavee Chanachai</v>
      </c>
      <c r="F5" s="13" t="str">
        <f t="shared" si="0"/>
        <v>THA</v>
      </c>
      <c r="G5" s="82">
        <f t="shared" si="0"/>
        <v>76</v>
      </c>
      <c r="H5" s="14"/>
      <c r="I5" s="15"/>
      <c r="J5" s="57">
        <f t="shared" ref="J5:J43" si="1">SUM(G5:I5)</f>
        <v>76</v>
      </c>
      <c r="K5" s="180" t="s">
        <v>4</v>
      </c>
      <c r="L5" s="9">
        <v>2</v>
      </c>
      <c r="M5" s="10">
        <f>basic!A2</f>
        <v>0.29166666666666669</v>
      </c>
      <c r="N5" s="11">
        <f>N8+3</f>
        <v>37</v>
      </c>
      <c r="O5" s="55" t="str">
        <f t="shared" ref="O5:P24" si="2">IF($N5="","",VLOOKUP($N5,名單,COLUMN()-13,FALSE))</f>
        <v>Sadom Kaewkanjana</v>
      </c>
      <c r="P5" s="13" t="str">
        <f t="shared" si="2"/>
        <v>THA</v>
      </c>
      <c r="Q5" s="82">
        <f t="shared" ref="Q5:Q43" si="3">IF($N5="","",VLOOKUP($N5,名單,COLUMN()-13,FALSE))</f>
        <v>70</v>
      </c>
      <c r="R5" s="14"/>
      <c r="S5" s="15">
        <f t="shared" ref="S5:S43" si="4">IF($N5="","",VLOOKUP($N5,名單,COLUMN()-14,FALSE))</f>
        <v>70</v>
      </c>
      <c r="T5" s="57">
        <f t="shared" ref="T5:T43" si="5">SUM(Q5:S5)</f>
        <v>140</v>
      </c>
    </row>
    <row r="6" spans="1:20" ht="16.5" customHeight="1" x14ac:dyDescent="0.25">
      <c r="A6" s="183"/>
      <c r="B6" s="17"/>
      <c r="C6" s="18"/>
      <c r="D6" s="19">
        <f>D5+1</f>
        <v>77</v>
      </c>
      <c r="E6" s="155" t="str">
        <f t="shared" si="0"/>
        <v>Jie-En Lin  林婕恩</v>
      </c>
      <c r="F6" s="21" t="str">
        <f t="shared" si="0"/>
        <v>ROC</v>
      </c>
      <c r="G6" s="83">
        <f t="shared" si="0"/>
        <v>72</v>
      </c>
      <c r="H6" s="22"/>
      <c r="I6" s="23"/>
      <c r="J6" s="61">
        <f t="shared" si="1"/>
        <v>72</v>
      </c>
      <c r="K6" s="178"/>
      <c r="L6" s="17"/>
      <c r="M6" s="18"/>
      <c r="N6" s="19">
        <f>N5+1</f>
        <v>38</v>
      </c>
      <c r="O6" s="155" t="str">
        <f t="shared" si="2"/>
        <v>Han-Ting Chiu 邱瀚霆</v>
      </c>
      <c r="P6" s="21" t="str">
        <f t="shared" si="2"/>
        <v>ROC</v>
      </c>
      <c r="Q6" s="83">
        <f t="shared" si="3"/>
        <v>72</v>
      </c>
      <c r="R6" s="22"/>
      <c r="S6" s="23">
        <f t="shared" si="4"/>
        <v>69</v>
      </c>
      <c r="T6" s="61">
        <f t="shared" si="5"/>
        <v>141</v>
      </c>
    </row>
    <row r="7" spans="1:20" ht="16.5" customHeight="1" x14ac:dyDescent="0.25">
      <c r="A7" s="183"/>
      <c r="B7" s="25"/>
      <c r="C7" s="26"/>
      <c r="D7" s="27">
        <f>D6+1</f>
        <v>78</v>
      </c>
      <c r="E7" s="156" t="str">
        <f t="shared" si="0"/>
        <v>Ashley Lau Jen Wen</v>
      </c>
      <c r="F7" s="29" t="str">
        <f t="shared" si="0"/>
        <v>MAS</v>
      </c>
      <c r="G7" s="84">
        <f t="shared" si="0"/>
        <v>81</v>
      </c>
      <c r="H7" s="30"/>
      <c r="I7" s="31"/>
      <c r="J7" s="65">
        <f t="shared" si="1"/>
        <v>81</v>
      </c>
      <c r="K7" s="178"/>
      <c r="L7" s="25"/>
      <c r="M7" s="26"/>
      <c r="N7" s="27">
        <f>N6+1</f>
        <v>39</v>
      </c>
      <c r="O7" s="156" t="str">
        <f t="shared" si="2"/>
        <v>Chan Tuck Soon</v>
      </c>
      <c r="P7" s="29" t="str">
        <f t="shared" si="2"/>
        <v>MAS</v>
      </c>
      <c r="Q7" s="84">
        <f t="shared" si="3"/>
        <v>75</v>
      </c>
      <c r="R7" s="30"/>
      <c r="S7" s="31">
        <f t="shared" si="4"/>
        <v>76</v>
      </c>
      <c r="T7" s="65">
        <f t="shared" si="5"/>
        <v>151</v>
      </c>
    </row>
    <row r="8" spans="1:20" ht="16.5" customHeight="1" x14ac:dyDescent="0.25">
      <c r="A8" s="183"/>
      <c r="B8" s="33">
        <f>B5+2</f>
        <v>3</v>
      </c>
      <c r="C8" s="34">
        <f>C5+basic!$A$3/60/24</f>
        <v>0.29791666666666666</v>
      </c>
      <c r="D8" s="35">
        <f>D5-3</f>
        <v>73</v>
      </c>
      <c r="E8" s="157" t="str">
        <f t="shared" si="0"/>
        <v>Pimnipa Panthong</v>
      </c>
      <c r="F8" s="37" t="str">
        <f t="shared" si="0"/>
        <v>THA</v>
      </c>
      <c r="G8" s="85">
        <f t="shared" si="0"/>
        <v>75</v>
      </c>
      <c r="H8" s="38"/>
      <c r="I8" s="39"/>
      <c r="J8" s="69">
        <f t="shared" si="1"/>
        <v>75</v>
      </c>
      <c r="K8" s="178"/>
      <c r="L8" s="33">
        <f>L5+2</f>
        <v>4</v>
      </c>
      <c r="M8" s="34">
        <f>M5+basic!$A$3/60/24</f>
        <v>0.29791666666666666</v>
      </c>
      <c r="N8" s="35">
        <f>N11+3</f>
        <v>34</v>
      </c>
      <c r="O8" s="157" t="str">
        <f t="shared" si="2"/>
        <v>Sangchai Kaewcharoen</v>
      </c>
      <c r="P8" s="37" t="str">
        <f t="shared" si="2"/>
        <v>THA</v>
      </c>
      <c r="Q8" s="85">
        <f t="shared" si="3"/>
        <v>75</v>
      </c>
      <c r="R8" s="38"/>
      <c r="S8" s="39">
        <f t="shared" si="4"/>
        <v>66</v>
      </c>
      <c r="T8" s="69">
        <f t="shared" si="5"/>
        <v>141</v>
      </c>
    </row>
    <row r="9" spans="1:20" ht="16.5" customHeight="1" x14ac:dyDescent="0.25">
      <c r="A9" s="183"/>
      <c r="B9" s="17"/>
      <c r="C9" s="18"/>
      <c r="D9" s="19">
        <f>D8+1</f>
        <v>74</v>
      </c>
      <c r="E9" s="155" t="str">
        <f t="shared" si="0"/>
        <v>Jo-Hua Hung 洪若華</v>
      </c>
      <c r="F9" s="21" t="str">
        <f t="shared" si="0"/>
        <v>ROC</v>
      </c>
      <c r="G9" s="83">
        <f t="shared" si="0"/>
        <v>72</v>
      </c>
      <c r="H9" s="22"/>
      <c r="I9" s="23"/>
      <c r="J9" s="61">
        <f t="shared" si="1"/>
        <v>72</v>
      </c>
      <c r="K9" s="178"/>
      <c r="L9" s="17"/>
      <c r="M9" s="18"/>
      <c r="N9" s="19">
        <f>N8+1</f>
        <v>35</v>
      </c>
      <c r="O9" s="155" t="str">
        <f t="shared" si="2"/>
        <v>Sun-Yi Lu 呂孫儀</v>
      </c>
      <c r="P9" s="21" t="str">
        <f t="shared" si="2"/>
        <v>ROC</v>
      </c>
      <c r="Q9" s="83">
        <f t="shared" si="3"/>
        <v>71</v>
      </c>
      <c r="R9" s="22"/>
      <c r="S9" s="23">
        <f t="shared" si="4"/>
        <v>71</v>
      </c>
      <c r="T9" s="61">
        <f t="shared" si="5"/>
        <v>142</v>
      </c>
    </row>
    <row r="10" spans="1:20" ht="16.5" customHeight="1" x14ac:dyDescent="0.25">
      <c r="A10" s="183"/>
      <c r="B10" s="25"/>
      <c r="C10" s="26"/>
      <c r="D10" s="27">
        <f>D9+1</f>
        <v>75</v>
      </c>
      <c r="E10" s="156" t="str">
        <f t="shared" si="0"/>
        <v>Winnie Ng Yu Xuan</v>
      </c>
      <c r="F10" s="29" t="str">
        <f t="shared" si="0"/>
        <v>MAS</v>
      </c>
      <c r="G10" s="84">
        <f t="shared" si="0"/>
        <v>84</v>
      </c>
      <c r="H10" s="30"/>
      <c r="I10" s="31"/>
      <c r="J10" s="65">
        <f t="shared" si="1"/>
        <v>84</v>
      </c>
      <c r="K10" s="178"/>
      <c r="L10" s="25"/>
      <c r="M10" s="26"/>
      <c r="N10" s="27">
        <f>N9+1</f>
        <v>36</v>
      </c>
      <c r="O10" s="156" t="str">
        <f t="shared" si="2"/>
        <v>Alvin Hiew</v>
      </c>
      <c r="P10" s="29" t="str">
        <f t="shared" si="2"/>
        <v>MAS</v>
      </c>
      <c r="Q10" s="84">
        <f t="shared" si="3"/>
        <v>77</v>
      </c>
      <c r="R10" s="30"/>
      <c r="S10" s="31">
        <f t="shared" si="4"/>
        <v>77</v>
      </c>
      <c r="T10" s="65">
        <f t="shared" si="5"/>
        <v>154</v>
      </c>
    </row>
    <row r="11" spans="1:20" ht="16.5" customHeight="1" x14ac:dyDescent="0.25">
      <c r="A11" s="183"/>
      <c r="B11" s="33">
        <f>B8+2</f>
        <v>5</v>
      </c>
      <c r="C11" s="34">
        <f>C8+basic!$A$3/60/24</f>
        <v>0.30416666666666664</v>
      </c>
      <c r="D11" s="35">
        <f>D8-3</f>
        <v>70</v>
      </c>
      <c r="E11" s="157" t="str">
        <f t="shared" si="0"/>
        <v>Isabella Leung</v>
      </c>
      <c r="F11" s="37" t="str">
        <f t="shared" si="0"/>
        <v>HKG</v>
      </c>
      <c r="G11" s="85">
        <f t="shared" si="0"/>
        <v>80</v>
      </c>
      <c r="H11" s="38"/>
      <c r="I11" s="39"/>
      <c r="J11" s="69">
        <f t="shared" si="1"/>
        <v>80</v>
      </c>
      <c r="K11" s="178"/>
      <c r="L11" s="33">
        <f>L8+2</f>
        <v>6</v>
      </c>
      <c r="M11" s="34">
        <f>M8+basic!$A$3/60/24</f>
        <v>0.30416666666666664</v>
      </c>
      <c r="N11" s="35">
        <f>N14+3</f>
        <v>31</v>
      </c>
      <c r="O11" s="157" t="str">
        <f t="shared" si="2"/>
        <v>Gregory Foo</v>
      </c>
      <c r="P11" s="37" t="str">
        <f t="shared" si="2"/>
        <v>SIN</v>
      </c>
      <c r="Q11" s="85">
        <f t="shared" si="3"/>
        <v>78</v>
      </c>
      <c r="R11" s="38"/>
      <c r="S11" s="39">
        <f t="shared" si="4"/>
        <v>69</v>
      </c>
      <c r="T11" s="69">
        <f t="shared" si="5"/>
        <v>147</v>
      </c>
    </row>
    <row r="12" spans="1:20" ht="16.5" customHeight="1" x14ac:dyDescent="0.25">
      <c r="A12" s="183"/>
      <c r="B12" s="41"/>
      <c r="C12" s="18"/>
      <c r="D12" s="19">
        <f>D11+1</f>
        <v>71</v>
      </c>
      <c r="E12" s="155" t="str">
        <f t="shared" si="0"/>
        <v>Lorenz Kayla Nocum</v>
      </c>
      <c r="F12" s="21" t="str">
        <f t="shared" si="0"/>
        <v>PHI</v>
      </c>
      <c r="G12" s="83">
        <f t="shared" si="0"/>
        <v>83</v>
      </c>
      <c r="H12" s="22"/>
      <c r="I12" s="23"/>
      <c r="J12" s="61">
        <f t="shared" si="1"/>
        <v>83</v>
      </c>
      <c r="K12" s="178"/>
      <c r="L12" s="41"/>
      <c r="M12" s="18"/>
      <c r="N12" s="19">
        <f>N11+1</f>
        <v>32</v>
      </c>
      <c r="O12" s="155" t="str">
        <f t="shared" si="2"/>
        <v>Lloyd Jefferson Go</v>
      </c>
      <c r="P12" s="21" t="str">
        <f t="shared" si="2"/>
        <v>PHI</v>
      </c>
      <c r="Q12" s="83">
        <f t="shared" si="3"/>
        <v>71</v>
      </c>
      <c r="R12" s="22"/>
      <c r="S12" s="23">
        <f t="shared" si="4"/>
        <v>72</v>
      </c>
      <c r="T12" s="61">
        <f t="shared" si="5"/>
        <v>143</v>
      </c>
    </row>
    <row r="13" spans="1:20" ht="16.5" customHeight="1" x14ac:dyDescent="0.25">
      <c r="A13" s="183"/>
      <c r="B13" s="17"/>
      <c r="C13" s="26"/>
      <c r="D13" s="27">
        <f>D12+1</f>
        <v>72</v>
      </c>
      <c r="E13" s="155" t="str">
        <f t="shared" si="0"/>
        <v>Tsai-Ching Tseng 曾彩晴</v>
      </c>
      <c r="F13" s="21" t="str">
        <f t="shared" si="0"/>
        <v>ROC</v>
      </c>
      <c r="G13" s="83">
        <f t="shared" si="0"/>
        <v>88</v>
      </c>
      <c r="H13" s="22"/>
      <c r="I13" s="23"/>
      <c r="J13" s="61">
        <f t="shared" si="1"/>
        <v>88</v>
      </c>
      <c r="K13" s="178"/>
      <c r="L13" s="17"/>
      <c r="M13" s="26"/>
      <c r="N13" s="27">
        <f>N12+1</f>
        <v>33</v>
      </c>
      <c r="O13" s="155" t="str">
        <f t="shared" si="2"/>
        <v>Yun-Jui Liao 廖云瑞</v>
      </c>
      <c r="P13" s="21" t="str">
        <f t="shared" si="2"/>
        <v>ROC</v>
      </c>
      <c r="Q13" s="83">
        <f t="shared" si="3"/>
        <v>73</v>
      </c>
      <c r="R13" s="22"/>
      <c r="S13" s="23">
        <f t="shared" si="4"/>
        <v>80</v>
      </c>
      <c r="T13" s="61">
        <f t="shared" si="5"/>
        <v>153</v>
      </c>
    </row>
    <row r="14" spans="1:20" ht="16.5" customHeight="1" x14ac:dyDescent="0.25">
      <c r="A14" s="183"/>
      <c r="B14" s="33">
        <f>B11+2</f>
        <v>7</v>
      </c>
      <c r="C14" s="34">
        <f>C11+basic!$A$3/60/24</f>
        <v>0.31041666666666662</v>
      </c>
      <c r="D14" s="35">
        <f>D11-3</f>
        <v>67</v>
      </c>
      <c r="E14" s="157" t="str">
        <f t="shared" si="0"/>
        <v>Mimi Ho</v>
      </c>
      <c r="F14" s="37" t="str">
        <f t="shared" si="0"/>
        <v>HKG</v>
      </c>
      <c r="G14" s="85">
        <f t="shared" si="0"/>
        <v>74</v>
      </c>
      <c r="H14" s="38"/>
      <c r="I14" s="39"/>
      <c r="J14" s="69">
        <f t="shared" si="1"/>
        <v>74</v>
      </c>
      <c r="K14" s="178"/>
      <c r="L14" s="33">
        <f>L11+2</f>
        <v>8</v>
      </c>
      <c r="M14" s="34">
        <f>M11+basic!$A$3/60/24</f>
        <v>0.31041666666666662</v>
      </c>
      <c r="N14" s="35">
        <f>N17+3</f>
        <v>28</v>
      </c>
      <c r="O14" s="159" t="str">
        <f t="shared" si="2"/>
        <v>Marc Ong</v>
      </c>
      <c r="P14" s="37" t="str">
        <f t="shared" si="2"/>
        <v>SIN</v>
      </c>
      <c r="Q14" s="85">
        <f t="shared" si="3"/>
        <v>72</v>
      </c>
      <c r="R14" s="38"/>
      <c r="S14" s="39">
        <f t="shared" si="4"/>
        <v>74</v>
      </c>
      <c r="T14" s="69">
        <f t="shared" si="5"/>
        <v>146</v>
      </c>
    </row>
    <row r="15" spans="1:20" ht="16.5" customHeight="1" x14ac:dyDescent="0.25">
      <c r="A15" s="183"/>
      <c r="B15" s="17"/>
      <c r="C15" s="18"/>
      <c r="D15" s="19">
        <f>D14+1</f>
        <v>68</v>
      </c>
      <c r="E15" s="155" t="str">
        <f t="shared" ref="E15:G24" si="6">IF($D15="","",VLOOKUP($D15,名單,COLUMN()-3,FALSE))</f>
        <v>Kristine Torralba</v>
      </c>
      <c r="F15" s="21" t="str">
        <f t="shared" si="6"/>
        <v>PHI</v>
      </c>
      <c r="G15" s="83">
        <f t="shared" si="6"/>
        <v>84</v>
      </c>
      <c r="H15" s="22"/>
      <c r="I15" s="23"/>
      <c r="J15" s="61">
        <f t="shared" si="1"/>
        <v>84</v>
      </c>
      <c r="K15" s="178"/>
      <c r="L15" s="17"/>
      <c r="M15" s="18"/>
      <c r="N15" s="19">
        <f>N14+1</f>
        <v>29</v>
      </c>
      <c r="O15" s="155" t="str">
        <f t="shared" si="2"/>
        <v>Jan Philip de Claro</v>
      </c>
      <c r="P15" s="21" t="str">
        <f t="shared" si="2"/>
        <v>PHI</v>
      </c>
      <c r="Q15" s="83">
        <f t="shared" si="3"/>
        <v>81</v>
      </c>
      <c r="R15" s="22"/>
      <c r="S15" s="23">
        <f t="shared" si="4"/>
        <v>76</v>
      </c>
      <c r="T15" s="61">
        <f t="shared" si="5"/>
        <v>157</v>
      </c>
    </row>
    <row r="16" spans="1:20" ht="16.5" customHeight="1" x14ac:dyDescent="0.25">
      <c r="A16" s="183"/>
      <c r="B16" s="25"/>
      <c r="C16" s="26"/>
      <c r="D16" s="27">
        <f>D15+1</f>
        <v>69</v>
      </c>
      <c r="E16" s="156" t="str">
        <f t="shared" si="6"/>
        <v>Ke-Ai Liu 劉可艾</v>
      </c>
      <c r="F16" s="29" t="str">
        <f t="shared" si="6"/>
        <v>ROC</v>
      </c>
      <c r="G16" s="84">
        <f t="shared" si="6"/>
        <v>89</v>
      </c>
      <c r="H16" s="30"/>
      <c r="I16" s="31"/>
      <c r="J16" s="65">
        <f t="shared" si="1"/>
        <v>89</v>
      </c>
      <c r="K16" s="178"/>
      <c r="L16" s="25"/>
      <c r="M16" s="26"/>
      <c r="N16" s="27">
        <f>N15+1</f>
        <v>30</v>
      </c>
      <c r="O16" s="156" t="str">
        <f t="shared" si="2"/>
        <v>Yung-Hua Liu 劉永華</v>
      </c>
      <c r="P16" s="29" t="str">
        <f t="shared" si="2"/>
        <v>ROC</v>
      </c>
      <c r="Q16" s="84">
        <f t="shared" si="3"/>
        <v>79</v>
      </c>
      <c r="R16" s="30"/>
      <c r="S16" s="31">
        <f t="shared" si="4"/>
        <v>78</v>
      </c>
      <c r="T16" s="65">
        <f t="shared" si="5"/>
        <v>157</v>
      </c>
    </row>
    <row r="17" spans="1:20" ht="16.5" customHeight="1" x14ac:dyDescent="0.25">
      <c r="A17" s="183"/>
      <c r="B17" s="33">
        <f>B14+2</f>
        <v>9</v>
      </c>
      <c r="C17" s="34">
        <f>C14+basic!$A$3/60/24</f>
        <v>0.3166666666666666</v>
      </c>
      <c r="D17" s="35">
        <f>D14-3</f>
        <v>64</v>
      </c>
      <c r="E17" s="157" t="str">
        <f t="shared" si="6"/>
        <v>Hsin-En Tsai 蔡欣恩</v>
      </c>
      <c r="F17" s="37" t="str">
        <f t="shared" si="6"/>
        <v>ROC</v>
      </c>
      <c r="G17" s="85">
        <f t="shared" si="6"/>
        <v>75</v>
      </c>
      <c r="H17" s="38"/>
      <c r="I17" s="39"/>
      <c r="J17" s="69">
        <f t="shared" si="1"/>
        <v>75</v>
      </c>
      <c r="K17" s="178"/>
      <c r="L17" s="33">
        <f>L14+2</f>
        <v>10</v>
      </c>
      <c r="M17" s="34">
        <f>M14+basic!$A$3/60/24</f>
        <v>0.3166666666666666</v>
      </c>
      <c r="N17" s="35">
        <f>N20+3</f>
        <v>25</v>
      </c>
      <c r="O17" s="157" t="str">
        <f t="shared" si="2"/>
        <v>Matthew Cheung</v>
      </c>
      <c r="P17" s="37" t="str">
        <f t="shared" si="2"/>
        <v>HKG</v>
      </c>
      <c r="Q17" s="85">
        <f t="shared" si="3"/>
        <v>73</v>
      </c>
      <c r="R17" s="38"/>
      <c r="S17" s="39">
        <f t="shared" si="4"/>
        <v>71</v>
      </c>
      <c r="T17" s="69">
        <f t="shared" si="5"/>
        <v>144</v>
      </c>
    </row>
    <row r="18" spans="1:20" ht="16.5" customHeight="1" x14ac:dyDescent="0.25">
      <c r="A18" s="183"/>
      <c r="B18" s="41"/>
      <c r="C18" s="18"/>
      <c r="D18" s="19">
        <v>66</v>
      </c>
      <c r="E18" s="155" t="str">
        <f t="shared" si="6"/>
        <v>Yi-Han Wang 王薏涵</v>
      </c>
      <c r="F18" s="21" t="str">
        <f t="shared" si="6"/>
        <v>ROC</v>
      </c>
      <c r="G18" s="83">
        <f t="shared" si="6"/>
        <v>75</v>
      </c>
      <c r="H18" s="22"/>
      <c r="I18" s="23"/>
      <c r="J18" s="61">
        <f t="shared" si="1"/>
        <v>75</v>
      </c>
      <c r="K18" s="178"/>
      <c r="L18" s="41"/>
      <c r="M18" s="18"/>
      <c r="N18" s="19">
        <f>N17+1</f>
        <v>26</v>
      </c>
      <c r="O18" s="155" t="str">
        <f t="shared" si="2"/>
        <v>Viraaj Madappa</v>
      </c>
      <c r="P18" s="21" t="str">
        <f t="shared" si="2"/>
        <v>IND</v>
      </c>
      <c r="Q18" s="83">
        <f t="shared" si="3"/>
        <v>70</v>
      </c>
      <c r="R18" s="22"/>
      <c r="S18" s="23">
        <f t="shared" si="4"/>
        <v>72</v>
      </c>
      <c r="T18" s="61">
        <f t="shared" si="5"/>
        <v>142</v>
      </c>
    </row>
    <row r="19" spans="1:20" ht="16.5" customHeight="1" x14ac:dyDescent="0.25">
      <c r="A19" s="183"/>
      <c r="B19" s="17"/>
      <c r="C19" s="26"/>
      <c r="D19" s="27"/>
      <c r="E19" s="156" t="str">
        <f t="shared" si="6"/>
        <v/>
      </c>
      <c r="F19" s="29" t="str">
        <f t="shared" si="6"/>
        <v/>
      </c>
      <c r="G19" s="84" t="str">
        <f t="shared" si="6"/>
        <v/>
      </c>
      <c r="H19" s="30"/>
      <c r="I19" s="31"/>
      <c r="J19" s="65">
        <f t="shared" si="1"/>
        <v>0</v>
      </c>
      <c r="K19" s="178"/>
      <c r="L19" s="17"/>
      <c r="M19" s="26"/>
      <c r="N19" s="27">
        <f>N18+1</f>
        <v>27</v>
      </c>
      <c r="O19" s="156" t="str">
        <f t="shared" si="2"/>
        <v>Li-Hsin Chung 鍾力新</v>
      </c>
      <c r="P19" s="29" t="str">
        <f t="shared" si="2"/>
        <v>ROC</v>
      </c>
      <c r="Q19" s="84">
        <f t="shared" si="3"/>
        <v>80</v>
      </c>
      <c r="R19" s="30"/>
      <c r="S19" s="31">
        <f t="shared" si="4"/>
        <v>78</v>
      </c>
      <c r="T19" s="65">
        <f t="shared" si="5"/>
        <v>158</v>
      </c>
    </row>
    <row r="20" spans="1:20" ht="16.5" customHeight="1" x14ac:dyDescent="0.25">
      <c r="A20" s="183"/>
      <c r="B20" s="33">
        <f>B17+2</f>
        <v>11</v>
      </c>
      <c r="C20" s="34">
        <f>C17+basic!$A$3/60/24</f>
        <v>0.32291666666666657</v>
      </c>
      <c r="D20" s="35">
        <f>D17-3</f>
        <v>61</v>
      </c>
      <c r="E20" s="157" t="str">
        <f t="shared" si="6"/>
        <v>Yu-Ping Huang 黃郁評</v>
      </c>
      <c r="F20" s="37" t="str">
        <f t="shared" si="6"/>
        <v>ROC</v>
      </c>
      <c r="G20" s="85">
        <f t="shared" si="6"/>
        <v>78</v>
      </c>
      <c r="H20" s="38"/>
      <c r="I20" s="39"/>
      <c r="J20" s="69">
        <f t="shared" si="1"/>
        <v>78</v>
      </c>
      <c r="K20" s="178"/>
      <c r="L20" s="33">
        <f>L17+2</f>
        <v>12</v>
      </c>
      <c r="M20" s="34">
        <f>M17+basic!$A$3/60/24</f>
        <v>0.32291666666666657</v>
      </c>
      <c r="N20" s="35">
        <f>N23+3</f>
        <v>22</v>
      </c>
      <c r="O20" s="157" t="str">
        <f t="shared" si="2"/>
        <v>Leon Philip D’Souza</v>
      </c>
      <c r="P20" s="37" t="str">
        <f t="shared" si="2"/>
        <v>HKG</v>
      </c>
      <c r="Q20" s="85">
        <f t="shared" si="3"/>
        <v>81</v>
      </c>
      <c r="R20" s="38"/>
      <c r="S20" s="39">
        <f t="shared" si="4"/>
        <v>79</v>
      </c>
      <c r="T20" s="69">
        <f t="shared" si="5"/>
        <v>160</v>
      </c>
    </row>
    <row r="21" spans="1:20" ht="16.5" customHeight="1" x14ac:dyDescent="0.25">
      <c r="A21" s="183"/>
      <c r="B21" s="17"/>
      <c r="C21" s="18"/>
      <c r="D21" s="19">
        <f>D20+1</f>
        <v>62</v>
      </c>
      <c r="E21" s="155" t="str">
        <f t="shared" si="6"/>
        <v xml:space="preserve">Song Yi Lin </v>
      </c>
      <c r="F21" s="21" t="str">
        <f t="shared" si="6"/>
        <v>CHN</v>
      </c>
      <c r="G21" s="83">
        <f t="shared" si="6"/>
        <v>78</v>
      </c>
      <c r="H21" s="22"/>
      <c r="I21" s="23"/>
      <c r="J21" s="61">
        <f t="shared" si="1"/>
        <v>78</v>
      </c>
      <c r="K21" s="178"/>
      <c r="L21" s="17"/>
      <c r="M21" s="18"/>
      <c r="N21" s="19">
        <f>N20+1</f>
        <v>23</v>
      </c>
      <c r="O21" s="155" t="str">
        <f t="shared" si="2"/>
        <v xml:space="preserve">Aman Raj </v>
      </c>
      <c r="P21" s="21" t="str">
        <f t="shared" si="2"/>
        <v>IND</v>
      </c>
      <c r="Q21" s="83">
        <f t="shared" si="3"/>
        <v>72</v>
      </c>
      <c r="R21" s="22"/>
      <c r="S21" s="23">
        <f t="shared" si="4"/>
        <v>71</v>
      </c>
      <c r="T21" s="61">
        <f t="shared" si="5"/>
        <v>143</v>
      </c>
    </row>
    <row r="22" spans="1:20" ht="16.5" customHeight="1" x14ac:dyDescent="0.25">
      <c r="A22" s="183"/>
      <c r="B22" s="25"/>
      <c r="C22" s="26"/>
      <c r="D22" s="27">
        <f>D21+1</f>
        <v>63</v>
      </c>
      <c r="E22" s="156" t="str">
        <f t="shared" si="6"/>
        <v>Kuan-Yu Lin 林冠妤</v>
      </c>
      <c r="F22" s="29" t="str">
        <f t="shared" si="6"/>
        <v>ROC</v>
      </c>
      <c r="G22" s="84">
        <f t="shared" si="6"/>
        <v>76</v>
      </c>
      <c r="H22" s="30"/>
      <c r="I22" s="31"/>
      <c r="J22" s="65">
        <f t="shared" si="1"/>
        <v>76</v>
      </c>
      <c r="K22" s="178"/>
      <c r="L22" s="25"/>
      <c r="M22" s="26"/>
      <c r="N22" s="27">
        <f>N21+1</f>
        <v>24</v>
      </c>
      <c r="O22" s="156" t="str">
        <f t="shared" si="2"/>
        <v>Yi-Tseng Huang  黃議增</v>
      </c>
      <c r="P22" s="29" t="str">
        <f t="shared" si="2"/>
        <v>ROC</v>
      </c>
      <c r="Q22" s="84">
        <f t="shared" si="3"/>
        <v>80</v>
      </c>
      <c r="R22" s="30"/>
      <c r="S22" s="31">
        <f t="shared" si="4"/>
        <v>78</v>
      </c>
      <c r="T22" s="65">
        <f t="shared" si="5"/>
        <v>158</v>
      </c>
    </row>
    <row r="23" spans="1:20" ht="16.5" customHeight="1" x14ac:dyDescent="0.25">
      <c r="A23" s="183"/>
      <c r="B23" s="33">
        <f>B20+2</f>
        <v>13</v>
      </c>
      <c r="C23" s="34">
        <f>C20+basic!$A$3/60/24</f>
        <v>0.32916666666666655</v>
      </c>
      <c r="D23" s="35">
        <f>D20-3</f>
        <v>58</v>
      </c>
      <c r="E23" s="157" t="str">
        <f t="shared" si="6"/>
        <v>Hsiao-Han Huang 黃筱涵</v>
      </c>
      <c r="F23" s="37" t="str">
        <f t="shared" si="6"/>
        <v>ROC</v>
      </c>
      <c r="G23" s="85">
        <f t="shared" si="6"/>
        <v>80</v>
      </c>
      <c r="H23" s="38"/>
      <c r="I23" s="39"/>
      <c r="J23" s="69">
        <f t="shared" si="1"/>
        <v>80</v>
      </c>
      <c r="K23" s="178"/>
      <c r="L23" s="33">
        <f>L20+2</f>
        <v>14</v>
      </c>
      <c r="M23" s="34">
        <f>M20+basic!$A$3/60/24</f>
        <v>0.32916666666666655</v>
      </c>
      <c r="N23" s="35">
        <f>N26+3</f>
        <v>19</v>
      </c>
      <c r="O23" s="157" t="str">
        <f t="shared" si="2"/>
        <v>Yi-Tong Chen 陳裔東</v>
      </c>
      <c r="P23" s="37" t="str">
        <f t="shared" si="2"/>
        <v>ROC</v>
      </c>
      <c r="Q23" s="85">
        <f t="shared" si="3"/>
        <v>82</v>
      </c>
      <c r="R23" s="38"/>
      <c r="S23" s="39">
        <f t="shared" si="4"/>
        <v>73</v>
      </c>
      <c r="T23" s="69">
        <f t="shared" si="5"/>
        <v>155</v>
      </c>
    </row>
    <row r="24" spans="1:20" ht="16.5" customHeight="1" x14ac:dyDescent="0.25">
      <c r="A24" s="183"/>
      <c r="B24" s="41"/>
      <c r="C24" s="18"/>
      <c r="D24" s="19">
        <f>D23+1</f>
        <v>59</v>
      </c>
      <c r="E24" s="155" t="str">
        <f t="shared" si="6"/>
        <v>Chi-Wen Young 楊棋文</v>
      </c>
      <c r="F24" s="21" t="str">
        <f t="shared" si="6"/>
        <v>ROC</v>
      </c>
      <c r="G24" s="83">
        <f t="shared" si="6"/>
        <v>83</v>
      </c>
      <c r="H24" s="22"/>
      <c r="I24" s="23"/>
      <c r="J24" s="61">
        <f t="shared" si="1"/>
        <v>83</v>
      </c>
      <c r="K24" s="178"/>
      <c r="L24" s="41"/>
      <c r="M24" s="18"/>
      <c r="N24" s="19">
        <f>N23+1</f>
        <v>20</v>
      </c>
      <c r="O24" s="155" t="str">
        <f t="shared" si="2"/>
        <v>Koshi Fukuta</v>
      </c>
      <c r="P24" s="21" t="str">
        <f t="shared" si="2"/>
        <v>JPN</v>
      </c>
      <c r="Q24" s="83">
        <f t="shared" si="3"/>
        <v>86</v>
      </c>
      <c r="R24" s="22"/>
      <c r="S24" s="23">
        <f t="shared" si="4"/>
        <v>0</v>
      </c>
      <c r="T24" s="61">
        <f t="shared" si="5"/>
        <v>86</v>
      </c>
    </row>
    <row r="25" spans="1:20" ht="16.5" customHeight="1" x14ac:dyDescent="0.25">
      <c r="A25" s="183"/>
      <c r="B25" s="17"/>
      <c r="C25" s="26"/>
      <c r="D25" s="27">
        <f>D24+1</f>
        <v>60</v>
      </c>
      <c r="E25" s="156" t="str">
        <f t="shared" ref="E25:G34" si="7">IF($D25="","",VLOOKUP($D25,名單,COLUMN()-3,FALSE))</f>
        <v>Ching-Tzu Chen 陳靜慈</v>
      </c>
      <c r="F25" s="29" t="str">
        <f t="shared" si="7"/>
        <v>ROC</v>
      </c>
      <c r="G25" s="84">
        <f t="shared" si="7"/>
        <v>73</v>
      </c>
      <c r="H25" s="30"/>
      <c r="I25" s="31"/>
      <c r="J25" s="65">
        <f t="shared" si="1"/>
        <v>73</v>
      </c>
      <c r="K25" s="178"/>
      <c r="L25" s="17"/>
      <c r="M25" s="26"/>
      <c r="N25" s="27">
        <f>N24+1</f>
        <v>21</v>
      </c>
      <c r="O25" s="156" t="str">
        <f t="shared" ref="O25:P43" si="8">IF($N25="","",VLOOKUP($N25,名單,COLUMN()-13,FALSE))</f>
        <v>William Lin 林為超</v>
      </c>
      <c r="P25" s="29" t="str">
        <f t="shared" si="8"/>
        <v>ROC</v>
      </c>
      <c r="Q25" s="84">
        <f t="shared" si="3"/>
        <v>83</v>
      </c>
      <c r="R25" s="30"/>
      <c r="S25" s="31">
        <f t="shared" si="4"/>
        <v>81</v>
      </c>
      <c r="T25" s="65">
        <f t="shared" si="5"/>
        <v>164</v>
      </c>
    </row>
    <row r="26" spans="1:20" ht="16.5" customHeight="1" x14ac:dyDescent="0.25">
      <c r="A26" s="184" t="s">
        <v>15</v>
      </c>
      <c r="B26" s="33">
        <f>B23+2</f>
        <v>15</v>
      </c>
      <c r="C26" s="34">
        <f>C23+basic!$A$3/60/24</f>
        <v>0.33541666666666653</v>
      </c>
      <c r="D26" s="35">
        <f>D23-3</f>
        <v>55</v>
      </c>
      <c r="E26" s="157" t="str">
        <f t="shared" si="7"/>
        <v>Ting-Chia Chang 張庭嘉</v>
      </c>
      <c r="F26" s="37" t="str">
        <f t="shared" si="7"/>
        <v>ROC</v>
      </c>
      <c r="G26" s="85">
        <f t="shared" si="7"/>
        <v>75</v>
      </c>
      <c r="H26" s="38"/>
      <c r="I26" s="39"/>
      <c r="J26" s="69">
        <f t="shared" si="1"/>
        <v>75</v>
      </c>
      <c r="K26" s="178"/>
      <c r="L26" s="33">
        <f>L23+2</f>
        <v>16</v>
      </c>
      <c r="M26" s="34">
        <f>M23+basic!$A$3/60/24</f>
        <v>0.33541666666666653</v>
      </c>
      <c r="N26" s="35">
        <f>N29+3</f>
        <v>16</v>
      </c>
      <c r="O26" s="157" t="str">
        <f t="shared" si="8"/>
        <v>Wei-Cheng Shen 沈威成</v>
      </c>
      <c r="P26" s="37" t="str">
        <f t="shared" si="8"/>
        <v>ROC</v>
      </c>
      <c r="Q26" s="85">
        <f t="shared" si="3"/>
        <v>75</v>
      </c>
      <c r="R26" s="38"/>
      <c r="S26" s="39">
        <f t="shared" si="4"/>
        <v>74</v>
      </c>
      <c r="T26" s="69">
        <f t="shared" si="5"/>
        <v>149</v>
      </c>
    </row>
    <row r="27" spans="1:20" ht="16.5" customHeight="1" x14ac:dyDescent="0.25">
      <c r="A27" s="185"/>
      <c r="B27" s="17"/>
      <c r="C27" s="18"/>
      <c r="D27" s="19">
        <f>D26+1</f>
        <v>56</v>
      </c>
      <c r="E27" s="155" t="str">
        <f t="shared" si="7"/>
        <v>Yen-Cheng Lai 賴彥丞</v>
      </c>
      <c r="F27" s="21" t="str">
        <f t="shared" si="7"/>
        <v>ROC</v>
      </c>
      <c r="G27" s="83">
        <f t="shared" si="7"/>
        <v>84</v>
      </c>
      <c r="H27" s="22"/>
      <c r="I27" s="23"/>
      <c r="J27" s="61">
        <f t="shared" si="1"/>
        <v>84</v>
      </c>
      <c r="K27" s="178"/>
      <c r="L27" s="17"/>
      <c r="M27" s="18"/>
      <c r="N27" s="19">
        <f>N26+1</f>
        <v>17</v>
      </c>
      <c r="O27" s="155" t="str">
        <f t="shared" si="8"/>
        <v xml:space="preserve">Kaito Kitazoe </v>
      </c>
      <c r="P27" s="21" t="str">
        <f t="shared" si="8"/>
        <v>JPN</v>
      </c>
      <c r="Q27" s="83">
        <f t="shared" si="3"/>
        <v>77</v>
      </c>
      <c r="R27" s="22"/>
      <c r="S27" s="23">
        <f t="shared" si="4"/>
        <v>79</v>
      </c>
      <c r="T27" s="61">
        <f t="shared" si="5"/>
        <v>156</v>
      </c>
    </row>
    <row r="28" spans="1:20" ht="16.5" customHeight="1" x14ac:dyDescent="0.25">
      <c r="A28" s="185"/>
      <c r="B28" s="25"/>
      <c r="C28" s="26"/>
      <c r="D28" s="27">
        <f>D27+1</f>
        <v>57</v>
      </c>
      <c r="E28" s="155" t="str">
        <f t="shared" si="7"/>
        <v>Yu-Kai Yeh 葉宇愷</v>
      </c>
      <c r="F28" s="21" t="str">
        <f t="shared" si="7"/>
        <v>ROC</v>
      </c>
      <c r="G28" s="83">
        <f t="shared" si="7"/>
        <v>78</v>
      </c>
      <c r="H28" s="22"/>
      <c r="I28" s="23"/>
      <c r="J28" s="61">
        <f t="shared" si="1"/>
        <v>78</v>
      </c>
      <c r="K28" s="178"/>
      <c r="L28" s="25"/>
      <c r="M28" s="26"/>
      <c r="N28" s="27">
        <f>N27+1</f>
        <v>18</v>
      </c>
      <c r="O28" s="155" t="str">
        <f t="shared" si="8"/>
        <v>Hsiu-Chi Chang 張修齊</v>
      </c>
      <c r="P28" s="21" t="str">
        <f t="shared" si="8"/>
        <v>ROC</v>
      </c>
      <c r="Q28" s="83">
        <f t="shared" si="3"/>
        <v>82</v>
      </c>
      <c r="R28" s="22"/>
      <c r="S28" s="23">
        <f t="shared" si="4"/>
        <v>77</v>
      </c>
      <c r="T28" s="61">
        <f t="shared" si="5"/>
        <v>159</v>
      </c>
    </row>
    <row r="29" spans="1:20" ht="16.5" customHeight="1" x14ac:dyDescent="0.25">
      <c r="A29" s="185"/>
      <c r="B29" s="33">
        <f>B26+2</f>
        <v>17</v>
      </c>
      <c r="C29" s="34">
        <f>C26+basic!$A$3/60/24</f>
        <v>0.34166666666666651</v>
      </c>
      <c r="D29" s="35">
        <f>D26-3</f>
        <v>52</v>
      </c>
      <c r="E29" s="157" t="str">
        <f t="shared" si="7"/>
        <v>Shih-Chuan Tsou 鄒世權</v>
      </c>
      <c r="F29" s="37" t="str">
        <f t="shared" si="7"/>
        <v>ROC</v>
      </c>
      <c r="G29" s="85">
        <f t="shared" si="7"/>
        <v>82</v>
      </c>
      <c r="H29" s="38"/>
      <c r="I29" s="39"/>
      <c r="J29" s="69">
        <f t="shared" si="1"/>
        <v>82</v>
      </c>
      <c r="K29" s="178"/>
      <c r="L29" s="33">
        <f>L26+2</f>
        <v>18</v>
      </c>
      <c r="M29" s="34">
        <f>M26+basic!$A$3/60/24</f>
        <v>0.34166666666666651</v>
      </c>
      <c r="N29" s="35">
        <f>N32+3</f>
        <v>13</v>
      </c>
      <c r="O29" s="157" t="str">
        <f t="shared" si="8"/>
        <v>Shun-Chen Chang 張勛宸</v>
      </c>
      <c r="P29" s="37" t="str">
        <f t="shared" si="8"/>
        <v>ROC</v>
      </c>
      <c r="Q29" s="85">
        <f t="shared" si="3"/>
        <v>77</v>
      </c>
      <c r="R29" s="38"/>
      <c r="S29" s="39">
        <f t="shared" si="4"/>
        <v>75</v>
      </c>
      <c r="T29" s="69">
        <f t="shared" si="5"/>
        <v>152</v>
      </c>
    </row>
    <row r="30" spans="1:20" ht="16.5" customHeight="1" x14ac:dyDescent="0.25">
      <c r="A30" s="185"/>
      <c r="B30" s="41"/>
      <c r="C30" s="18"/>
      <c r="D30" s="19">
        <f>D29+1</f>
        <v>53</v>
      </c>
      <c r="E30" s="155" t="str">
        <f t="shared" si="7"/>
        <v>Wei-Yi Liu  劉威毅</v>
      </c>
      <c r="F30" s="21" t="str">
        <f t="shared" si="7"/>
        <v>ROC</v>
      </c>
      <c r="G30" s="83">
        <f t="shared" si="7"/>
        <v>85</v>
      </c>
      <c r="H30" s="22"/>
      <c r="I30" s="23"/>
      <c r="J30" s="61">
        <f t="shared" si="1"/>
        <v>85</v>
      </c>
      <c r="K30" s="178"/>
      <c r="L30" s="41"/>
      <c r="M30" s="18"/>
      <c r="N30" s="19">
        <f>N29+1</f>
        <v>14</v>
      </c>
      <c r="O30" s="155" t="str">
        <f t="shared" si="8"/>
        <v>Pei-Fwu Chen</v>
      </c>
      <c r="P30" s="21" t="str">
        <f t="shared" si="8"/>
        <v>HKG</v>
      </c>
      <c r="Q30" s="83">
        <f t="shared" si="3"/>
        <v>86</v>
      </c>
      <c r="R30" s="22"/>
      <c r="S30" s="23">
        <f t="shared" si="4"/>
        <v>87</v>
      </c>
      <c r="T30" s="61">
        <f t="shared" si="5"/>
        <v>173</v>
      </c>
    </row>
    <row r="31" spans="1:20" ht="16.5" customHeight="1" x14ac:dyDescent="0.25">
      <c r="A31" s="185"/>
      <c r="B31" s="17"/>
      <c r="C31" s="26"/>
      <c r="D31" s="27">
        <f>D30+1</f>
        <v>54</v>
      </c>
      <c r="E31" s="156" t="str">
        <f t="shared" si="7"/>
        <v>Cheng-En Cheng 鄭丞恩</v>
      </c>
      <c r="F31" s="29" t="str">
        <f t="shared" si="7"/>
        <v>ROC</v>
      </c>
      <c r="G31" s="84">
        <f t="shared" si="7"/>
        <v>108</v>
      </c>
      <c r="H31" s="30"/>
      <c r="I31" s="31"/>
      <c r="J31" s="65">
        <f t="shared" si="1"/>
        <v>108</v>
      </c>
      <c r="K31" s="178"/>
      <c r="L31" s="17"/>
      <c r="M31" s="26"/>
      <c r="N31" s="27">
        <f>N30+1</f>
        <v>15</v>
      </c>
      <c r="O31" s="156" t="str">
        <f t="shared" si="8"/>
        <v>Yu-Chen Chen 陳宥蓁</v>
      </c>
      <c r="P31" s="29" t="str">
        <f t="shared" si="8"/>
        <v>ROC</v>
      </c>
      <c r="Q31" s="84">
        <f t="shared" si="3"/>
        <v>80</v>
      </c>
      <c r="R31" s="30"/>
      <c r="S31" s="31">
        <f t="shared" si="4"/>
        <v>74</v>
      </c>
      <c r="T31" s="65">
        <f t="shared" si="5"/>
        <v>154</v>
      </c>
    </row>
    <row r="32" spans="1:20" ht="16.5" customHeight="1" x14ac:dyDescent="0.25">
      <c r="A32" s="185"/>
      <c r="B32" s="33">
        <f>B29+2</f>
        <v>19</v>
      </c>
      <c r="C32" s="34">
        <f>C29+basic!$A$3/60/24</f>
        <v>0.34791666666666649</v>
      </c>
      <c r="D32" s="35">
        <f>D29-3</f>
        <v>49</v>
      </c>
      <c r="E32" s="157" t="str">
        <f t="shared" si="7"/>
        <v>Jui-Lung Wu Mark 吳瑞隆</v>
      </c>
      <c r="F32" s="37" t="str">
        <f t="shared" si="7"/>
        <v>ROC</v>
      </c>
      <c r="G32" s="85">
        <f t="shared" si="7"/>
        <v>82</v>
      </c>
      <c r="H32" s="38"/>
      <c r="I32" s="39"/>
      <c r="J32" s="69">
        <f t="shared" si="1"/>
        <v>82</v>
      </c>
      <c r="K32" s="178"/>
      <c r="L32" s="33">
        <f>L29+2</f>
        <v>20</v>
      </c>
      <c r="M32" s="34">
        <f>M29+basic!$A$3/60/24</f>
        <v>0.34791666666666649</v>
      </c>
      <c r="N32" s="35">
        <v>10</v>
      </c>
      <c r="O32" s="157" t="str">
        <f t="shared" si="8"/>
        <v>Kai Chen  陳　凱</v>
      </c>
      <c r="P32" s="37" t="str">
        <f t="shared" si="8"/>
        <v>ROC</v>
      </c>
      <c r="Q32" s="85">
        <f t="shared" si="3"/>
        <v>95</v>
      </c>
      <c r="R32" s="38"/>
      <c r="S32" s="39">
        <f t="shared" si="4"/>
        <v>87</v>
      </c>
      <c r="T32" s="69">
        <f t="shared" si="5"/>
        <v>182</v>
      </c>
    </row>
    <row r="33" spans="1:20" ht="16.5" customHeight="1" x14ac:dyDescent="0.25">
      <c r="A33" s="185"/>
      <c r="B33" s="17"/>
      <c r="C33" s="18"/>
      <c r="D33" s="19">
        <f>D32+1</f>
        <v>50</v>
      </c>
      <c r="E33" s="155" t="str">
        <f t="shared" si="7"/>
        <v>Han-Wei Chiu 邱瀚緯</v>
      </c>
      <c r="F33" s="21" t="str">
        <f t="shared" si="7"/>
        <v>ROC</v>
      </c>
      <c r="G33" s="83">
        <f t="shared" si="7"/>
        <v>73</v>
      </c>
      <c r="H33" s="22"/>
      <c r="I33" s="23"/>
      <c r="J33" s="61">
        <f t="shared" si="1"/>
        <v>73</v>
      </c>
      <c r="K33" s="178"/>
      <c r="L33" s="17"/>
      <c r="M33" s="18"/>
      <c r="N33" s="19">
        <f>N32+1</f>
        <v>11</v>
      </c>
      <c r="O33" s="155" t="str">
        <f t="shared" si="8"/>
        <v>Steven Lam</v>
      </c>
      <c r="P33" s="21" t="str">
        <f t="shared" si="8"/>
        <v>HKG</v>
      </c>
      <c r="Q33" s="83">
        <f t="shared" si="3"/>
        <v>76</v>
      </c>
      <c r="R33" s="22"/>
      <c r="S33" s="23">
        <f t="shared" si="4"/>
        <v>83</v>
      </c>
      <c r="T33" s="61">
        <f t="shared" si="5"/>
        <v>159</v>
      </c>
    </row>
    <row r="34" spans="1:20" ht="16.5" customHeight="1" x14ac:dyDescent="0.25">
      <c r="A34" s="185"/>
      <c r="B34" s="25"/>
      <c r="C34" s="26"/>
      <c r="D34" s="27">
        <f>D33+1</f>
        <v>51</v>
      </c>
      <c r="E34" s="156" t="str">
        <f t="shared" si="7"/>
        <v>Che-Hung Tsai 蔡哲弘</v>
      </c>
      <c r="F34" s="29" t="str">
        <f t="shared" si="7"/>
        <v>ROC</v>
      </c>
      <c r="G34" s="84">
        <f t="shared" si="7"/>
        <v>74</v>
      </c>
      <c r="H34" s="30"/>
      <c r="I34" s="31"/>
      <c r="J34" s="65">
        <f t="shared" si="1"/>
        <v>74</v>
      </c>
      <c r="K34" s="178"/>
      <c r="L34" s="25"/>
      <c r="M34" s="26"/>
      <c r="N34" s="27">
        <f>N33+1</f>
        <v>12</v>
      </c>
      <c r="O34" s="156" t="str">
        <f t="shared" si="8"/>
        <v>Jack Tsai 蔡政宏</v>
      </c>
      <c r="P34" s="29" t="str">
        <f t="shared" si="8"/>
        <v>ROC</v>
      </c>
      <c r="Q34" s="84">
        <f t="shared" si="3"/>
        <v>77</v>
      </c>
      <c r="R34" s="30"/>
      <c r="S34" s="31">
        <f t="shared" si="4"/>
        <v>79</v>
      </c>
      <c r="T34" s="65">
        <f t="shared" si="5"/>
        <v>156</v>
      </c>
    </row>
    <row r="35" spans="1:20" ht="16.5" customHeight="1" x14ac:dyDescent="0.25">
      <c r="A35" s="185"/>
      <c r="B35" s="33">
        <f>B32+2</f>
        <v>21</v>
      </c>
      <c r="C35" s="34">
        <f>C32+basic!$A$3/60/24</f>
        <v>0.35416666666666646</v>
      </c>
      <c r="D35" s="35">
        <f>D32-3</f>
        <v>46</v>
      </c>
      <c r="E35" s="157" t="str">
        <f t="shared" ref="E35:G43" si="9">IF($D35="","",VLOOKUP($D35,名單,COLUMN()-3,FALSE))</f>
        <v>Chin-Hung He 何勁宏</v>
      </c>
      <c r="F35" s="37" t="str">
        <f t="shared" si="9"/>
        <v>ROC</v>
      </c>
      <c r="G35" s="85">
        <f t="shared" si="9"/>
        <v>79</v>
      </c>
      <c r="H35" s="38"/>
      <c r="I35" s="39"/>
      <c r="J35" s="69">
        <f t="shared" si="1"/>
        <v>79</v>
      </c>
      <c r="K35" s="178"/>
      <c r="L35" s="33">
        <f>L32+2</f>
        <v>22</v>
      </c>
      <c r="M35" s="34">
        <f>M32+basic!$A$3/60/24</f>
        <v>0.35416666666666646</v>
      </c>
      <c r="N35" s="35">
        <v>6</v>
      </c>
      <c r="O35" s="157" t="str">
        <f t="shared" si="8"/>
        <v>Wei-Fan Liu 劉威汎</v>
      </c>
      <c r="P35" s="37" t="str">
        <f t="shared" si="8"/>
        <v>ROC</v>
      </c>
      <c r="Q35" s="85">
        <f t="shared" si="3"/>
        <v>78</v>
      </c>
      <c r="R35" s="38"/>
      <c r="S35" s="39">
        <f t="shared" si="4"/>
        <v>80</v>
      </c>
      <c r="T35" s="69">
        <f t="shared" si="5"/>
        <v>158</v>
      </c>
    </row>
    <row r="36" spans="1:20" ht="16.5" customHeight="1" x14ac:dyDescent="0.25">
      <c r="A36" s="185"/>
      <c r="B36" s="41"/>
      <c r="C36" s="18"/>
      <c r="D36" s="19">
        <f>D35+1</f>
        <v>47</v>
      </c>
      <c r="E36" s="158" t="str">
        <f t="shared" si="9"/>
        <v>Chia-Wei Yu 游家瑋</v>
      </c>
      <c r="F36" s="160" t="str">
        <f t="shared" si="9"/>
        <v>ROC</v>
      </c>
      <c r="G36" s="83">
        <f t="shared" si="9"/>
        <v>90</v>
      </c>
      <c r="H36" s="22"/>
      <c r="I36" s="23"/>
      <c r="J36" s="61">
        <f t="shared" si="1"/>
        <v>90</v>
      </c>
      <c r="K36" s="178"/>
      <c r="L36" s="41"/>
      <c r="M36" s="18"/>
      <c r="N36" s="19">
        <f>N35+1</f>
        <v>7</v>
      </c>
      <c r="O36" s="158" t="str">
        <f t="shared" si="8"/>
        <v>Chung-Ting Liao 廖崇廷</v>
      </c>
      <c r="P36" s="160" t="str">
        <f t="shared" si="8"/>
        <v>ROC</v>
      </c>
      <c r="Q36" s="83">
        <f t="shared" si="3"/>
        <v>74</v>
      </c>
      <c r="R36" s="22"/>
      <c r="S36" s="23">
        <f t="shared" si="4"/>
        <v>79</v>
      </c>
      <c r="T36" s="61">
        <f t="shared" si="5"/>
        <v>153</v>
      </c>
    </row>
    <row r="37" spans="1:20" ht="16.5" customHeight="1" x14ac:dyDescent="0.25">
      <c r="A37" s="185"/>
      <c r="B37" s="17"/>
      <c r="C37" s="26"/>
      <c r="D37" s="27">
        <f>D36+1</f>
        <v>48</v>
      </c>
      <c r="E37" s="156" t="str">
        <f t="shared" si="9"/>
        <v>Yu-Chiao Chang 張育僑</v>
      </c>
      <c r="F37" s="29" t="str">
        <f t="shared" si="9"/>
        <v>ROC</v>
      </c>
      <c r="G37" s="84">
        <f t="shared" si="9"/>
        <v>82</v>
      </c>
      <c r="H37" s="30"/>
      <c r="I37" s="31"/>
      <c r="J37" s="65">
        <f t="shared" si="1"/>
        <v>82</v>
      </c>
      <c r="K37" s="178"/>
      <c r="L37" s="17"/>
      <c r="M37" s="26"/>
      <c r="N37" s="27">
        <f>N36+1</f>
        <v>8</v>
      </c>
      <c r="O37" s="156" t="str">
        <f t="shared" si="8"/>
        <v>Tiger Lee</v>
      </c>
      <c r="P37" s="29" t="str">
        <f t="shared" si="8"/>
        <v>HKG</v>
      </c>
      <c r="Q37" s="84">
        <f t="shared" si="3"/>
        <v>74</v>
      </c>
      <c r="R37" s="30"/>
      <c r="S37" s="31">
        <f t="shared" si="4"/>
        <v>75</v>
      </c>
      <c r="T37" s="65">
        <f t="shared" si="5"/>
        <v>149</v>
      </c>
    </row>
    <row r="38" spans="1:20" ht="16.5" customHeight="1" x14ac:dyDescent="0.25">
      <c r="A38" s="185"/>
      <c r="B38" s="33">
        <f>B35+2</f>
        <v>23</v>
      </c>
      <c r="C38" s="34">
        <f>C35+basic!$A$3/60/24</f>
        <v>0.36041666666666644</v>
      </c>
      <c r="D38" s="35">
        <f>D35-3</f>
        <v>43</v>
      </c>
      <c r="E38" s="157" t="str">
        <f t="shared" si="9"/>
        <v>Chung-Chieh Yang 楊浚頡</v>
      </c>
      <c r="F38" s="37" t="str">
        <f t="shared" si="9"/>
        <v>ROC</v>
      </c>
      <c r="G38" s="85">
        <f t="shared" si="9"/>
        <v>70</v>
      </c>
      <c r="H38" s="38"/>
      <c r="I38" s="39"/>
      <c r="J38" s="69">
        <f t="shared" si="1"/>
        <v>70</v>
      </c>
      <c r="K38" s="178"/>
      <c r="L38" s="33">
        <f>L35+2</f>
        <v>24</v>
      </c>
      <c r="M38" s="34">
        <f>M35+basic!$A$3/60/24</f>
        <v>0.36041666666666644</v>
      </c>
      <c r="N38" s="35">
        <v>1</v>
      </c>
      <c r="O38" s="157" t="str">
        <f t="shared" si="8"/>
        <v>Yu-Chia Chiu 邱昱嘉</v>
      </c>
      <c r="P38" s="37" t="str">
        <f t="shared" si="8"/>
        <v>ROC</v>
      </c>
      <c r="Q38" s="85">
        <f t="shared" si="3"/>
        <v>84</v>
      </c>
      <c r="R38" s="38"/>
      <c r="S38" s="39">
        <f t="shared" si="4"/>
        <v>90</v>
      </c>
      <c r="T38" s="69">
        <f t="shared" si="5"/>
        <v>174</v>
      </c>
    </row>
    <row r="39" spans="1:20" ht="16.5" customHeight="1" x14ac:dyDescent="0.25">
      <c r="A39" s="185"/>
      <c r="B39" s="17"/>
      <c r="C39" s="18"/>
      <c r="D39" s="19">
        <f>D38+1</f>
        <v>44</v>
      </c>
      <c r="E39" s="158" t="str">
        <f t="shared" si="9"/>
        <v>Yu-Cong Jhang 張育琮</v>
      </c>
      <c r="F39" s="160" t="str">
        <f t="shared" si="9"/>
        <v>ROC</v>
      </c>
      <c r="G39" s="83">
        <f t="shared" si="9"/>
        <v>82</v>
      </c>
      <c r="H39" s="22"/>
      <c r="I39" s="23"/>
      <c r="J39" s="61">
        <f t="shared" si="1"/>
        <v>82</v>
      </c>
      <c r="K39" s="178"/>
      <c r="L39" s="17"/>
      <c r="M39" s="18"/>
      <c r="N39" s="19">
        <v>2</v>
      </c>
      <c r="O39" s="158" t="str">
        <f t="shared" si="8"/>
        <v>Terrence Ng</v>
      </c>
      <c r="P39" s="160" t="str">
        <f t="shared" si="8"/>
        <v>HKG</v>
      </c>
      <c r="Q39" s="83">
        <f t="shared" si="3"/>
        <v>77</v>
      </c>
      <c r="R39" s="22"/>
      <c r="S39" s="23">
        <f t="shared" si="4"/>
        <v>78</v>
      </c>
      <c r="T39" s="61">
        <f t="shared" si="5"/>
        <v>155</v>
      </c>
    </row>
    <row r="40" spans="1:20" ht="16.5" customHeight="1" x14ac:dyDescent="0.25">
      <c r="A40" s="185"/>
      <c r="B40" s="25"/>
      <c r="C40" s="26"/>
      <c r="D40" s="27">
        <f>D39+1</f>
        <v>45</v>
      </c>
      <c r="E40" s="156" t="str">
        <f t="shared" si="9"/>
        <v>Mako‏ Shapiyate  沙比亞特馬克</v>
      </c>
      <c r="F40" s="29" t="str">
        <f t="shared" si="9"/>
        <v>ROC</v>
      </c>
      <c r="G40" s="84">
        <f t="shared" si="9"/>
        <v>81</v>
      </c>
      <c r="H40" s="30"/>
      <c r="I40" s="31"/>
      <c r="J40" s="65">
        <f t="shared" si="1"/>
        <v>81</v>
      </c>
      <c r="K40" s="178"/>
      <c r="L40" s="25"/>
      <c r="M40" s="26"/>
      <c r="N40" s="27">
        <v>4</v>
      </c>
      <c r="O40" s="156" t="str">
        <f t="shared" si="8"/>
        <v>Xun-Mao Sun 孫薰懋</v>
      </c>
      <c r="P40" s="29" t="str">
        <f t="shared" si="8"/>
        <v>ROC</v>
      </c>
      <c r="Q40" s="84">
        <f t="shared" si="3"/>
        <v>88</v>
      </c>
      <c r="R40" s="30"/>
      <c r="S40" s="31">
        <f t="shared" si="4"/>
        <v>80</v>
      </c>
      <c r="T40" s="65">
        <f t="shared" si="5"/>
        <v>168</v>
      </c>
    </row>
    <row r="41" spans="1:20" ht="16.5" customHeight="1" x14ac:dyDescent="0.25">
      <c r="A41" s="185"/>
      <c r="B41" s="33">
        <f>B38+2</f>
        <v>25</v>
      </c>
      <c r="C41" s="34">
        <f>C38+basic!$A$3/60/24</f>
        <v>0.36666666666666642</v>
      </c>
      <c r="D41" s="35">
        <f>D38-3</f>
        <v>40</v>
      </c>
      <c r="E41" s="157" t="str">
        <f t="shared" si="9"/>
        <v>Meng-Heng Lu 呂孟恆</v>
      </c>
      <c r="F41" s="37" t="str">
        <f t="shared" si="9"/>
        <v>ROC</v>
      </c>
      <c r="G41" s="85">
        <f t="shared" si="9"/>
        <v>85</v>
      </c>
      <c r="H41" s="38"/>
      <c r="I41" s="39"/>
      <c r="J41" s="69">
        <f t="shared" si="1"/>
        <v>85</v>
      </c>
      <c r="K41" s="178"/>
      <c r="L41" s="33"/>
      <c r="M41" s="34"/>
      <c r="N41" s="35"/>
      <c r="O41" s="157"/>
      <c r="P41" s="37"/>
      <c r="Q41" s="85"/>
      <c r="R41" s="38"/>
      <c r="S41" s="39"/>
      <c r="T41" s="69"/>
    </row>
    <row r="42" spans="1:20" ht="16.5" customHeight="1" x14ac:dyDescent="0.25">
      <c r="A42" s="185"/>
      <c r="B42" s="17"/>
      <c r="C42" s="18"/>
      <c r="D42" s="19">
        <f>D41+1</f>
        <v>41</v>
      </c>
      <c r="E42" s="155" t="str">
        <f t="shared" si="9"/>
        <v>Zi-Jun Huang 黃子鈞</v>
      </c>
      <c r="F42" s="21" t="str">
        <f t="shared" si="9"/>
        <v>ROC</v>
      </c>
      <c r="G42" s="83">
        <f t="shared" si="9"/>
        <v>81</v>
      </c>
      <c r="H42" s="22"/>
      <c r="I42" s="23"/>
      <c r="J42" s="61">
        <f t="shared" si="1"/>
        <v>81</v>
      </c>
      <c r="K42" s="178"/>
      <c r="L42" s="17"/>
      <c r="M42" s="18"/>
      <c r="N42" s="19"/>
      <c r="O42" s="155"/>
      <c r="P42" s="21"/>
      <c r="Q42" s="83"/>
      <c r="R42" s="22"/>
      <c r="S42" s="23"/>
      <c r="T42" s="61"/>
    </row>
    <row r="43" spans="1:20" ht="16.5" customHeight="1" x14ac:dyDescent="0.25">
      <c r="A43" s="185"/>
      <c r="B43" s="25"/>
      <c r="C43" s="26"/>
      <c r="D43" s="27">
        <f>D42+1</f>
        <v>42</v>
      </c>
      <c r="E43" s="156" t="str">
        <f t="shared" si="9"/>
        <v>Yu-Cheng Ho 何祐誠</v>
      </c>
      <c r="F43" s="29" t="str">
        <f t="shared" si="9"/>
        <v>ROC</v>
      </c>
      <c r="G43" s="84">
        <f t="shared" si="9"/>
        <v>79</v>
      </c>
      <c r="H43" s="30"/>
      <c r="I43" s="31"/>
      <c r="J43" s="65">
        <f t="shared" si="1"/>
        <v>79</v>
      </c>
      <c r="K43" s="178"/>
      <c r="L43" s="25"/>
      <c r="M43" s="26"/>
      <c r="N43" s="27"/>
      <c r="O43" s="156" t="str">
        <f t="shared" si="8"/>
        <v/>
      </c>
      <c r="P43" s="29" t="str">
        <f t="shared" si="8"/>
        <v/>
      </c>
      <c r="Q43" s="84" t="str">
        <f t="shared" si="3"/>
        <v/>
      </c>
      <c r="R43" s="30"/>
      <c r="S43" s="31" t="str">
        <f t="shared" si="4"/>
        <v/>
      </c>
      <c r="T43" s="65">
        <f t="shared" si="5"/>
        <v>0</v>
      </c>
    </row>
    <row r="44" spans="1:20" ht="16.5" customHeight="1" x14ac:dyDescent="0.25">
      <c r="A44" s="169"/>
      <c r="B44" s="33"/>
      <c r="C44" s="34"/>
      <c r="D44" s="35"/>
      <c r="E44" s="157"/>
      <c r="F44" s="37"/>
      <c r="G44" s="85"/>
      <c r="H44" s="38"/>
      <c r="I44" s="39"/>
      <c r="J44" s="69"/>
      <c r="K44" s="42"/>
      <c r="L44" s="33"/>
      <c r="M44" s="34"/>
      <c r="N44" s="35"/>
      <c r="O44" s="157"/>
      <c r="P44" s="37"/>
      <c r="Q44" s="85"/>
      <c r="R44" s="38"/>
      <c r="S44" s="39"/>
      <c r="T44" s="69"/>
    </row>
    <row r="45" spans="1:20" ht="16.5" customHeight="1" x14ac:dyDescent="0.25">
      <c r="A45" s="169"/>
      <c r="B45" s="41"/>
      <c r="C45" s="18"/>
      <c r="D45" s="19"/>
      <c r="E45" s="155"/>
      <c r="F45" s="21"/>
      <c r="G45" s="83"/>
      <c r="H45" s="22"/>
      <c r="I45" s="23"/>
      <c r="J45" s="61"/>
      <c r="K45" s="42"/>
      <c r="L45" s="41"/>
      <c r="M45" s="18"/>
      <c r="N45" s="19"/>
      <c r="O45" s="155"/>
      <c r="P45" s="21"/>
      <c r="Q45" s="83"/>
      <c r="R45" s="22"/>
      <c r="S45" s="23"/>
      <c r="T45" s="61"/>
    </row>
    <row r="46" spans="1:20" ht="16.5" customHeight="1" x14ac:dyDescent="0.25">
      <c r="A46" s="169"/>
      <c r="B46" s="17"/>
      <c r="C46" s="26"/>
      <c r="D46" s="27"/>
      <c r="E46" s="156"/>
      <c r="F46" s="29"/>
      <c r="G46" s="84"/>
      <c r="H46" s="30"/>
      <c r="I46" s="31"/>
      <c r="J46" s="65"/>
      <c r="K46" s="42"/>
      <c r="L46" s="17"/>
      <c r="M46" s="26"/>
      <c r="N46" s="27"/>
      <c r="O46" s="156"/>
      <c r="P46" s="29"/>
      <c r="Q46" s="84"/>
      <c r="R46" s="30"/>
      <c r="S46" s="31"/>
      <c r="T46" s="65"/>
    </row>
    <row r="47" spans="1:20" ht="16.5" customHeight="1" x14ac:dyDescent="0.25">
      <c r="A47" s="169"/>
      <c r="B47" s="33"/>
      <c r="C47" s="34"/>
      <c r="D47" s="35"/>
      <c r="E47" s="157"/>
      <c r="F47" s="37"/>
      <c r="G47" s="85"/>
      <c r="H47" s="38"/>
      <c r="I47" s="39"/>
      <c r="J47" s="69"/>
      <c r="K47" s="42"/>
      <c r="L47" s="33"/>
      <c r="M47" s="34"/>
      <c r="N47" s="35"/>
      <c r="O47" s="157"/>
      <c r="P47" s="37"/>
      <c r="Q47" s="85"/>
      <c r="R47" s="38"/>
      <c r="S47" s="39"/>
      <c r="T47" s="69"/>
    </row>
    <row r="48" spans="1:20" ht="16.5" customHeight="1" x14ac:dyDescent="0.25">
      <c r="A48" s="169"/>
      <c r="B48" s="41"/>
      <c r="C48" s="18"/>
      <c r="D48" s="19"/>
      <c r="E48" s="155"/>
      <c r="F48" s="21"/>
      <c r="G48" s="83"/>
      <c r="H48" s="22"/>
      <c r="I48" s="23"/>
      <c r="J48" s="61"/>
      <c r="K48" s="42"/>
      <c r="L48" s="41"/>
      <c r="M48" s="18"/>
      <c r="N48" s="19"/>
      <c r="O48" s="155"/>
      <c r="P48" s="21"/>
      <c r="Q48" s="83"/>
      <c r="R48" s="22"/>
      <c r="S48" s="23"/>
      <c r="T48" s="61"/>
    </row>
    <row r="49" spans="1:20" ht="16.5" customHeight="1" thickBot="1" x14ac:dyDescent="0.3">
      <c r="A49" s="170"/>
      <c r="B49" s="17"/>
      <c r="C49" s="26"/>
      <c r="D49" s="27"/>
      <c r="E49" s="156"/>
      <c r="F49" s="29"/>
      <c r="G49" s="84"/>
      <c r="H49" s="30"/>
      <c r="I49" s="31"/>
      <c r="J49" s="65"/>
      <c r="K49" s="54"/>
      <c r="L49" s="17"/>
      <c r="M49" s="26"/>
      <c r="N49" s="27"/>
      <c r="O49" s="162"/>
      <c r="P49" s="87"/>
      <c r="Q49" s="90"/>
      <c r="R49" s="91"/>
      <c r="S49" s="92"/>
      <c r="T49" s="93"/>
    </row>
    <row r="50" spans="1:20" x14ac:dyDescent="0.25">
      <c r="A50" s="171" t="s">
        <v>0</v>
      </c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</row>
  </sheetData>
  <sheetProtection password="EB6B" sheet="1" objects="1" scenarios="1"/>
  <mergeCells count="9">
    <mergeCell ref="A50:T50"/>
    <mergeCell ref="A1:T1"/>
    <mergeCell ref="A2:T2"/>
    <mergeCell ref="A3:G3"/>
    <mergeCell ref="B4:E4"/>
    <mergeCell ref="L4:O4"/>
    <mergeCell ref="A5:A25"/>
    <mergeCell ref="A26:A43"/>
    <mergeCell ref="K5:K43"/>
  </mergeCells>
  <phoneticPr fontId="2" type="noConversion"/>
  <conditionalFormatting sqref="Q5:S49 G8:J49">
    <cfRule type="cellIs" dxfId="15" priority="13" operator="lessThan">
      <formula>72</formula>
    </cfRule>
    <cfRule type="cellIs" dxfId="14" priority="14" operator="equal">
      <formula>72</formula>
    </cfRule>
  </conditionalFormatting>
  <conditionalFormatting sqref="T5:T49">
    <cfRule type="cellIs" dxfId="13" priority="5" operator="lessThan">
      <formula>72</formula>
    </cfRule>
    <cfRule type="cellIs" dxfId="12" priority="6" operator="equal">
      <formula>72</formula>
    </cfRule>
  </conditionalFormatting>
  <conditionalFormatting sqref="G5:I7">
    <cfRule type="cellIs" dxfId="11" priority="3" operator="lessThan">
      <formula>72</formula>
    </cfRule>
    <cfRule type="cellIs" dxfId="10" priority="4" operator="equal">
      <formula>72</formula>
    </cfRule>
  </conditionalFormatting>
  <conditionalFormatting sqref="J5:J7">
    <cfRule type="cellIs" dxfId="9" priority="1" operator="lessThan">
      <formula>72</formula>
    </cfRule>
    <cfRule type="cellIs" dxfId="8" priority="2" operator="equal">
      <formula>72</formula>
    </cfRule>
  </conditionalFormatting>
  <printOptions horizontalCentered="1"/>
  <pageMargins left="0" right="0" top="0.74803149606299213" bottom="0.74803149606299213" header="0.31496062992125984" footer="0.31496062992125984"/>
  <pageSetup paperSize="9" scale="78" orientation="portrait" horizontalDpi="0" verticalDpi="0" r:id="rId1"/>
  <ignoredErrors>
    <ignoredError sqref="E5:J5" evalError="1"/>
    <ignoredError sqref="D8:D17 N43 D20:D43 N30:N31 N33:N34 N36:N37 N8:N29 N38:N40 N35 N3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4" workbookViewId="0">
      <selection activeCell="D6" sqref="D6"/>
    </sheetView>
  </sheetViews>
  <sheetFormatPr defaultRowHeight="16.5" x14ac:dyDescent="0.25"/>
  <cols>
    <col min="1" max="1" width="2.875" customWidth="1"/>
    <col min="2" max="2" width="3.375" customWidth="1"/>
    <col min="3" max="3" width="6.625" customWidth="1"/>
    <col min="4" max="4" width="3.625" customWidth="1"/>
    <col min="5" max="5" width="20.625" customWidth="1"/>
    <col min="6" max="6" width="7.625" customWidth="1"/>
    <col min="7" max="9" width="3.875" customWidth="1"/>
    <col min="10" max="10" width="4.5" customWidth="1"/>
    <col min="11" max="11" width="2.875" customWidth="1"/>
    <col min="12" max="12" width="3.375" customWidth="1"/>
    <col min="13" max="13" width="6.625" customWidth="1"/>
    <col min="14" max="14" width="3.625" customWidth="1"/>
    <col min="15" max="15" width="20.625" customWidth="1"/>
    <col min="16" max="16" width="6.625" customWidth="1"/>
    <col min="17" max="19" width="3.875" customWidth="1"/>
    <col min="20" max="20" width="4.5" customWidth="1"/>
  </cols>
  <sheetData>
    <row r="1" spans="1:20" ht="24" customHeight="1" x14ac:dyDescent="0.3">
      <c r="A1" s="172" t="str">
        <f>'R1'!A1:T1</f>
        <v xml:space="preserve">　　2015年台灣業餘高爾夫錦標賽 /2015 TAIWAN  AMATEUR GOLF CHAMPIONSHIP  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</row>
    <row r="2" spans="1:20" ht="24" customHeight="1" x14ac:dyDescent="0.25">
      <c r="A2" s="173" t="s">
        <v>21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</row>
    <row r="3" spans="1:20" x14ac:dyDescent="0.25">
      <c r="A3" s="174" t="s">
        <v>118</v>
      </c>
      <c r="B3" s="174"/>
      <c r="C3" s="174"/>
      <c r="D3" s="174"/>
      <c r="E3" s="174"/>
      <c r="F3" s="174"/>
      <c r="G3" s="174"/>
      <c r="H3" s="1"/>
      <c r="I3" s="2"/>
      <c r="J3" s="3"/>
      <c r="K3" s="3"/>
      <c r="L3" s="146" t="str">
        <f>'R1'!L3</f>
        <v>地點：揚昇高爾夫鄉村俱樂部 Sunrise Golf &amp; Country Club</v>
      </c>
      <c r="M3" s="146"/>
      <c r="N3" s="146"/>
      <c r="O3" s="146"/>
      <c r="P3" s="146"/>
      <c r="Q3" s="146"/>
      <c r="R3" s="146"/>
      <c r="S3" s="146"/>
      <c r="T3" s="2"/>
    </row>
    <row r="4" spans="1:20" ht="16.899999999999999" thickBot="1" x14ac:dyDescent="0.35">
      <c r="A4" s="2"/>
      <c r="B4" s="175" t="s">
        <v>19</v>
      </c>
      <c r="C4" s="175"/>
      <c r="D4" s="175"/>
      <c r="E4" s="175"/>
      <c r="F4" s="4"/>
      <c r="G4" s="5"/>
      <c r="H4" s="6"/>
      <c r="I4" s="6"/>
      <c r="J4" s="2"/>
      <c r="K4" s="7"/>
      <c r="L4" s="176" t="s">
        <v>20</v>
      </c>
      <c r="M4" s="176"/>
      <c r="N4" s="176"/>
      <c r="O4" s="176"/>
      <c r="P4" s="8"/>
      <c r="Q4" s="8"/>
      <c r="R4" s="6"/>
      <c r="S4" s="6"/>
      <c r="T4" s="6"/>
    </row>
    <row r="5" spans="1:20" ht="16.5" customHeight="1" x14ac:dyDescent="0.25">
      <c r="A5" s="180" t="s">
        <v>18</v>
      </c>
      <c r="B5" s="9">
        <v>1</v>
      </c>
      <c r="C5" s="10">
        <f>basic!E4</f>
        <v>0.29166666666666669</v>
      </c>
      <c r="D5" s="11">
        <f>IF(basic!F4="","",VLOOKUP(basic!F4,男子名次,2,FALSE))</f>
        <v>48</v>
      </c>
      <c r="E5" s="55" t="str">
        <f t="shared" ref="E5:H14" si="0">IF($D5="","",VLOOKUP($D5,名單,COLUMN()-3,FALSE))</f>
        <v>Yu-Chiao Chang 張育僑</v>
      </c>
      <c r="F5" s="13" t="str">
        <f t="shared" si="0"/>
        <v>ROC</v>
      </c>
      <c r="G5" s="82">
        <f t="shared" si="0"/>
        <v>82</v>
      </c>
      <c r="H5" s="14">
        <f t="shared" si="0"/>
        <v>75</v>
      </c>
      <c r="I5" s="15"/>
      <c r="J5" s="57">
        <f t="shared" ref="J5:J34" si="1">SUM(G5:I5)</f>
        <v>157</v>
      </c>
      <c r="K5" s="180" t="s">
        <v>4</v>
      </c>
      <c r="L5" s="9">
        <v>2</v>
      </c>
      <c r="M5" s="10">
        <f>basic!H4</f>
        <v>0.29166666666666669</v>
      </c>
      <c r="N5" s="11">
        <f>IF(basic!I4="","",VLOOKUP(basic!I4,男子名次,2,FALSE))</f>
        <v>17</v>
      </c>
      <c r="O5" s="55" t="str">
        <f t="shared" ref="O5:R24" si="2">IF($N5="","",VLOOKUP($N5,名單,COLUMN()-13,FALSE))</f>
        <v xml:space="preserve">Kaito Kitazoe </v>
      </c>
      <c r="P5" s="13" t="str">
        <f t="shared" si="2"/>
        <v>JPN</v>
      </c>
      <c r="Q5" s="55">
        <f t="shared" si="2"/>
        <v>77</v>
      </c>
      <c r="R5" s="56">
        <f t="shared" si="2"/>
        <v>79</v>
      </c>
      <c r="S5" s="56"/>
      <c r="T5" s="57">
        <f t="shared" ref="T5:T34" si="3">SUM(Q5:S5)</f>
        <v>156</v>
      </c>
    </row>
    <row r="6" spans="1:20" ht="16.5" customHeight="1" x14ac:dyDescent="0.25">
      <c r="A6" s="178"/>
      <c r="B6" s="17"/>
      <c r="C6" s="18"/>
      <c r="D6" s="19">
        <f>IF(basic!F5="","",VLOOKUP(basic!F5,男子名次,2,FALSE))</f>
        <v>27</v>
      </c>
      <c r="E6" s="155" t="str">
        <f t="shared" si="0"/>
        <v>Li-Hsin Chung 鍾力新</v>
      </c>
      <c r="F6" s="21" t="str">
        <f t="shared" si="0"/>
        <v>ROC</v>
      </c>
      <c r="G6" s="83">
        <f t="shared" si="0"/>
        <v>80</v>
      </c>
      <c r="H6" s="22">
        <f t="shared" si="0"/>
        <v>78</v>
      </c>
      <c r="I6" s="23"/>
      <c r="J6" s="61">
        <f t="shared" si="1"/>
        <v>158</v>
      </c>
      <c r="K6" s="178"/>
      <c r="L6" s="17"/>
      <c r="M6" s="18"/>
      <c r="N6" s="19">
        <f>IF(basic!I5="","",VLOOKUP(basic!I5,男子名次,2,FALSE))</f>
        <v>18</v>
      </c>
      <c r="O6" s="155" t="str">
        <f t="shared" si="2"/>
        <v>Hsiu-Chi Chang 張修齊</v>
      </c>
      <c r="P6" s="21" t="str">
        <f t="shared" si="2"/>
        <v>ROC</v>
      </c>
      <c r="Q6" s="58">
        <f t="shared" si="2"/>
        <v>82</v>
      </c>
      <c r="R6" s="59">
        <f t="shared" si="2"/>
        <v>77</v>
      </c>
      <c r="S6" s="60"/>
      <c r="T6" s="61">
        <f t="shared" si="3"/>
        <v>159</v>
      </c>
    </row>
    <row r="7" spans="1:20" ht="16.5" customHeight="1" x14ac:dyDescent="0.25">
      <c r="A7" s="178"/>
      <c r="B7" s="25"/>
      <c r="C7" s="26"/>
      <c r="D7" s="27" t="str">
        <f>IF(basic!F6="","",VLOOKUP(basic!F6,男子名次,2,FALSE))</f>
        <v/>
      </c>
      <c r="E7" s="156" t="str">
        <f t="shared" si="0"/>
        <v/>
      </c>
      <c r="F7" s="29" t="str">
        <f t="shared" si="0"/>
        <v/>
      </c>
      <c r="G7" s="84" t="str">
        <f t="shared" si="0"/>
        <v/>
      </c>
      <c r="H7" s="30" t="str">
        <f t="shared" si="0"/>
        <v/>
      </c>
      <c r="I7" s="31"/>
      <c r="J7" s="65">
        <f t="shared" si="1"/>
        <v>0</v>
      </c>
      <c r="K7" s="178"/>
      <c r="L7" s="25"/>
      <c r="M7" s="26"/>
      <c r="N7" s="27">
        <f>IF(basic!I6="","",VLOOKUP(basic!I6,男子名次,2,FALSE))</f>
        <v>24</v>
      </c>
      <c r="O7" s="156" t="str">
        <f t="shared" si="2"/>
        <v>Yi-Tseng Huang  黃議增</v>
      </c>
      <c r="P7" s="29" t="str">
        <f t="shared" si="2"/>
        <v>ROC</v>
      </c>
      <c r="Q7" s="62">
        <f t="shared" si="2"/>
        <v>80</v>
      </c>
      <c r="R7" s="63">
        <f t="shared" si="2"/>
        <v>78</v>
      </c>
      <c r="S7" s="64"/>
      <c r="T7" s="65">
        <f t="shared" si="3"/>
        <v>158</v>
      </c>
    </row>
    <row r="8" spans="1:20" ht="16.5" customHeight="1" x14ac:dyDescent="0.25">
      <c r="A8" s="178"/>
      <c r="B8" s="33">
        <f>B5+2</f>
        <v>3</v>
      </c>
      <c r="C8" s="34">
        <f>basic!E7</f>
        <v>0.29791666666666666</v>
      </c>
      <c r="D8" s="35">
        <f>IF(basic!F7="","",VLOOKUP(basic!F7,男子名次,2,FALSE))</f>
        <v>8</v>
      </c>
      <c r="E8" s="157" t="str">
        <f t="shared" si="0"/>
        <v>Tiger Lee</v>
      </c>
      <c r="F8" s="37" t="str">
        <f t="shared" si="0"/>
        <v>HKG</v>
      </c>
      <c r="G8" s="85">
        <f t="shared" si="0"/>
        <v>74</v>
      </c>
      <c r="H8" s="38">
        <f t="shared" si="0"/>
        <v>75</v>
      </c>
      <c r="I8" s="39"/>
      <c r="J8" s="69">
        <f t="shared" si="1"/>
        <v>149</v>
      </c>
      <c r="K8" s="178"/>
      <c r="L8" s="33">
        <f>L5+2</f>
        <v>4</v>
      </c>
      <c r="M8" s="34">
        <f>basic!H7</f>
        <v>0.29791666666666666</v>
      </c>
      <c r="N8" s="35">
        <f>IF(basic!I7="","",VLOOKUP(basic!I7,男子名次,2,FALSE))</f>
        <v>7</v>
      </c>
      <c r="O8" s="157" t="str">
        <f t="shared" si="2"/>
        <v>Chung-Ting Liao 廖崇廷</v>
      </c>
      <c r="P8" s="37" t="str">
        <f t="shared" si="2"/>
        <v>ROC</v>
      </c>
      <c r="Q8" s="66">
        <f t="shared" si="2"/>
        <v>74</v>
      </c>
      <c r="R8" s="67">
        <f t="shared" si="2"/>
        <v>79</v>
      </c>
      <c r="S8" s="68"/>
      <c r="T8" s="69">
        <f t="shared" si="3"/>
        <v>153</v>
      </c>
    </row>
    <row r="9" spans="1:20" ht="16.5" customHeight="1" x14ac:dyDescent="0.25">
      <c r="A9" s="178"/>
      <c r="B9" s="17"/>
      <c r="C9" s="18"/>
      <c r="D9" s="19">
        <f>IF(basic!F8="","",VLOOKUP(basic!F8,男子名次,2,FALSE))</f>
        <v>19</v>
      </c>
      <c r="E9" s="155" t="str">
        <f t="shared" si="0"/>
        <v>Yi-Tong Chen 陳裔東</v>
      </c>
      <c r="F9" s="21" t="str">
        <f t="shared" si="0"/>
        <v>ROC</v>
      </c>
      <c r="G9" s="83">
        <f t="shared" si="0"/>
        <v>82</v>
      </c>
      <c r="H9" s="22">
        <f t="shared" si="0"/>
        <v>73</v>
      </c>
      <c r="I9" s="23"/>
      <c r="J9" s="61">
        <f t="shared" si="1"/>
        <v>155</v>
      </c>
      <c r="K9" s="178"/>
      <c r="L9" s="17"/>
      <c r="M9" s="18"/>
      <c r="N9" s="19">
        <f>IF(basic!I8="","",VLOOKUP(basic!I8,男子名次,2,FALSE))</f>
        <v>11</v>
      </c>
      <c r="O9" s="155" t="str">
        <f t="shared" si="2"/>
        <v>Steven Lam</v>
      </c>
      <c r="P9" s="21" t="str">
        <f t="shared" si="2"/>
        <v>HKG</v>
      </c>
      <c r="Q9" s="58">
        <f t="shared" si="2"/>
        <v>76</v>
      </c>
      <c r="R9" s="59">
        <f t="shared" si="2"/>
        <v>83</v>
      </c>
      <c r="S9" s="60"/>
      <c r="T9" s="61">
        <f t="shared" si="3"/>
        <v>159</v>
      </c>
    </row>
    <row r="10" spans="1:20" ht="16.5" customHeight="1" x14ac:dyDescent="0.25">
      <c r="A10" s="178"/>
      <c r="B10" s="25"/>
      <c r="C10" s="26"/>
      <c r="D10" s="27">
        <f>IF(basic!F9="","",VLOOKUP(basic!F9,男子名次,2,FALSE))</f>
        <v>42</v>
      </c>
      <c r="E10" s="156" t="str">
        <f t="shared" si="0"/>
        <v>Yu-Cheng Ho 何祐誠</v>
      </c>
      <c r="F10" s="29" t="str">
        <f t="shared" si="0"/>
        <v>ROC</v>
      </c>
      <c r="G10" s="84">
        <f t="shared" si="0"/>
        <v>79</v>
      </c>
      <c r="H10" s="30">
        <f t="shared" si="0"/>
        <v>78</v>
      </c>
      <c r="I10" s="31"/>
      <c r="J10" s="65">
        <f t="shared" si="1"/>
        <v>157</v>
      </c>
      <c r="K10" s="178"/>
      <c r="L10" s="25"/>
      <c r="M10" s="26"/>
      <c r="N10" s="27">
        <f>IF(basic!I9="","",VLOOKUP(basic!I9,男子名次,2,FALSE))</f>
        <v>50</v>
      </c>
      <c r="O10" s="156" t="str">
        <f t="shared" si="2"/>
        <v>Han-Wei Chiu 邱瀚緯</v>
      </c>
      <c r="P10" s="29" t="str">
        <f t="shared" si="2"/>
        <v>ROC</v>
      </c>
      <c r="Q10" s="62">
        <f t="shared" si="2"/>
        <v>73</v>
      </c>
      <c r="R10" s="63">
        <f t="shared" si="2"/>
        <v>85</v>
      </c>
      <c r="S10" s="64"/>
      <c r="T10" s="65">
        <f t="shared" si="3"/>
        <v>158</v>
      </c>
    </row>
    <row r="11" spans="1:20" ht="16.5" customHeight="1" x14ac:dyDescent="0.25">
      <c r="A11" s="178"/>
      <c r="B11" s="33">
        <f>B8+2</f>
        <v>5</v>
      </c>
      <c r="C11" s="34">
        <f>basic!E10</f>
        <v>0.30416666666666664</v>
      </c>
      <c r="D11" s="35">
        <f>IF(basic!F10="","",VLOOKUP(basic!F10,男子名次,2,FALSE))</f>
        <v>2</v>
      </c>
      <c r="E11" s="157" t="str">
        <f t="shared" si="0"/>
        <v>Terrence Ng</v>
      </c>
      <c r="F11" s="37" t="str">
        <f t="shared" si="0"/>
        <v>HKG</v>
      </c>
      <c r="G11" s="85">
        <f t="shared" si="0"/>
        <v>77</v>
      </c>
      <c r="H11" s="38">
        <f t="shared" si="0"/>
        <v>78</v>
      </c>
      <c r="I11" s="39"/>
      <c r="J11" s="69">
        <f t="shared" si="1"/>
        <v>155</v>
      </c>
      <c r="K11" s="178"/>
      <c r="L11" s="33">
        <f>L8+2</f>
        <v>6</v>
      </c>
      <c r="M11" s="34">
        <f>basic!H10</f>
        <v>0.30416666666666664</v>
      </c>
      <c r="N11" s="147">
        <f>IF(basic!I10="","",VLOOKUP(basic!I10,男子名次,2,FALSE))</f>
        <v>30</v>
      </c>
      <c r="O11" s="157" t="str">
        <f t="shared" si="2"/>
        <v>Yung-Hua Liu 劉永華</v>
      </c>
      <c r="P11" s="37" t="str">
        <f t="shared" si="2"/>
        <v>ROC</v>
      </c>
      <c r="Q11" s="66">
        <f t="shared" si="2"/>
        <v>79</v>
      </c>
      <c r="R11" s="67">
        <f t="shared" si="2"/>
        <v>78</v>
      </c>
      <c r="S11" s="68"/>
      <c r="T11" s="69">
        <f t="shared" si="3"/>
        <v>157</v>
      </c>
    </row>
    <row r="12" spans="1:20" x14ac:dyDescent="0.25">
      <c r="A12" s="178"/>
      <c r="B12" s="41"/>
      <c r="C12" s="18"/>
      <c r="D12" s="19">
        <f>IF(basic!F11="","",VLOOKUP(basic!F11,男子名次,2,FALSE))</f>
        <v>13</v>
      </c>
      <c r="E12" s="155" t="str">
        <f t="shared" si="0"/>
        <v>Shun-Chen Chang 張勛宸</v>
      </c>
      <c r="F12" s="21" t="str">
        <f t="shared" si="0"/>
        <v>ROC</v>
      </c>
      <c r="G12" s="83">
        <f t="shared" si="0"/>
        <v>77</v>
      </c>
      <c r="H12" s="22">
        <f t="shared" si="0"/>
        <v>75</v>
      </c>
      <c r="I12" s="23"/>
      <c r="J12" s="61">
        <f t="shared" si="1"/>
        <v>152</v>
      </c>
      <c r="K12" s="178"/>
      <c r="L12" s="41"/>
      <c r="M12" s="18"/>
      <c r="N12" s="148">
        <f>IF(basic!I11="","",VLOOKUP(basic!I11,男子名次,2,FALSE))</f>
        <v>29</v>
      </c>
      <c r="O12" s="155" t="str">
        <f t="shared" si="2"/>
        <v>Jan Philip de Claro</v>
      </c>
      <c r="P12" s="21" t="str">
        <f t="shared" si="2"/>
        <v>PHI</v>
      </c>
      <c r="Q12" s="58">
        <f t="shared" si="2"/>
        <v>81</v>
      </c>
      <c r="R12" s="59">
        <f t="shared" si="2"/>
        <v>76</v>
      </c>
      <c r="S12" s="60"/>
      <c r="T12" s="61">
        <f t="shared" si="3"/>
        <v>157</v>
      </c>
    </row>
    <row r="13" spans="1:20" x14ac:dyDescent="0.25">
      <c r="A13" s="181"/>
      <c r="B13" s="17"/>
      <c r="C13" s="26"/>
      <c r="D13" s="19">
        <f>IF(basic!F12="","",VLOOKUP(basic!F12,男子名次,2,FALSE))</f>
        <v>39</v>
      </c>
      <c r="E13" s="155" t="str">
        <f t="shared" si="0"/>
        <v>Chan Tuck Soon</v>
      </c>
      <c r="F13" s="21" t="str">
        <f t="shared" si="0"/>
        <v>MAS</v>
      </c>
      <c r="G13" s="83">
        <f t="shared" si="0"/>
        <v>75</v>
      </c>
      <c r="H13" s="22">
        <f t="shared" si="0"/>
        <v>76</v>
      </c>
      <c r="I13" s="23"/>
      <c r="J13" s="61">
        <f t="shared" si="1"/>
        <v>151</v>
      </c>
      <c r="K13" s="178"/>
      <c r="L13" s="17"/>
      <c r="M13" s="26"/>
      <c r="N13" s="145">
        <f>IF(basic!I12="","",VLOOKUP(basic!I12,男子名次,2,FALSE))</f>
        <v>33</v>
      </c>
      <c r="O13" s="155" t="str">
        <f t="shared" si="2"/>
        <v>Yun-Jui Liao 廖云瑞</v>
      </c>
      <c r="P13" s="21" t="str">
        <f t="shared" si="2"/>
        <v>ROC</v>
      </c>
      <c r="Q13" s="58">
        <f t="shared" si="2"/>
        <v>73</v>
      </c>
      <c r="R13" s="59">
        <f t="shared" si="2"/>
        <v>80</v>
      </c>
      <c r="S13" s="60"/>
      <c r="T13" s="61">
        <f t="shared" si="3"/>
        <v>153</v>
      </c>
    </row>
    <row r="14" spans="1:20" ht="16.5" customHeight="1" x14ac:dyDescent="0.25">
      <c r="A14" s="177" t="s">
        <v>48</v>
      </c>
      <c r="B14" s="33">
        <f>B11+2</f>
        <v>7</v>
      </c>
      <c r="C14" s="34">
        <f>basic!E13</f>
        <v>0.31041666666666662</v>
      </c>
      <c r="D14" s="35">
        <f>IF(basic!F13="","",VLOOKUP(basic!F13,男子名次,2,FALSE))</f>
        <v>36</v>
      </c>
      <c r="E14" s="157" t="str">
        <f t="shared" si="0"/>
        <v>Alvin Hiew</v>
      </c>
      <c r="F14" s="37" t="str">
        <f t="shared" si="0"/>
        <v>MAS</v>
      </c>
      <c r="G14" s="85">
        <f t="shared" si="0"/>
        <v>77</v>
      </c>
      <c r="H14" s="38">
        <f t="shared" si="0"/>
        <v>77</v>
      </c>
      <c r="I14" s="39"/>
      <c r="J14" s="69">
        <f t="shared" si="1"/>
        <v>154</v>
      </c>
      <c r="K14" s="178"/>
      <c r="L14" s="33">
        <f>L11+2</f>
        <v>8</v>
      </c>
      <c r="M14" s="34">
        <f>basic!H13</f>
        <v>0.31041666666666662</v>
      </c>
      <c r="N14" s="35">
        <f>IF(basic!I13="","",VLOOKUP(basic!I13,男子名次,2,FALSE))</f>
        <v>43</v>
      </c>
      <c r="O14" s="157" t="str">
        <f t="shared" si="2"/>
        <v>Chung-Chieh Yang 楊浚頡</v>
      </c>
      <c r="P14" s="37" t="str">
        <f t="shared" si="2"/>
        <v>ROC</v>
      </c>
      <c r="Q14" s="66">
        <f t="shared" si="2"/>
        <v>70</v>
      </c>
      <c r="R14" s="67">
        <f t="shared" si="2"/>
        <v>80</v>
      </c>
      <c r="S14" s="68"/>
      <c r="T14" s="69">
        <f t="shared" si="3"/>
        <v>150</v>
      </c>
    </row>
    <row r="15" spans="1:20" x14ac:dyDescent="0.25">
      <c r="A15" s="178"/>
      <c r="B15" s="17"/>
      <c r="C15" s="18"/>
      <c r="D15" s="19">
        <f>IF(basic!F14="","",VLOOKUP(basic!F14,男子名次,2,FALSE))</f>
        <v>55</v>
      </c>
      <c r="E15" s="155" t="str">
        <f t="shared" ref="E15:H24" si="4">IF($D15="","",VLOOKUP($D15,名單,COLUMN()-3,FALSE))</f>
        <v>Ting-Chia Chang 張庭嘉</v>
      </c>
      <c r="F15" s="21" t="str">
        <f t="shared" si="4"/>
        <v>ROC</v>
      </c>
      <c r="G15" s="83">
        <f t="shared" si="4"/>
        <v>75</v>
      </c>
      <c r="H15" s="22">
        <f t="shared" si="4"/>
        <v>78</v>
      </c>
      <c r="I15" s="23"/>
      <c r="J15" s="61">
        <f t="shared" si="1"/>
        <v>153</v>
      </c>
      <c r="K15" s="178"/>
      <c r="L15" s="17"/>
      <c r="M15" s="18"/>
      <c r="N15" s="19">
        <f>IF(basic!I14="","",VLOOKUP(basic!I14,男子名次,2,FALSE))</f>
        <v>15</v>
      </c>
      <c r="O15" s="155" t="str">
        <f t="shared" si="2"/>
        <v>Yu-Chen Chen 陳宥蓁</v>
      </c>
      <c r="P15" s="21" t="str">
        <f t="shared" si="2"/>
        <v>ROC</v>
      </c>
      <c r="Q15" s="58">
        <f t="shared" si="2"/>
        <v>80</v>
      </c>
      <c r="R15" s="59">
        <f t="shared" si="2"/>
        <v>74</v>
      </c>
      <c r="S15" s="60"/>
      <c r="T15" s="61">
        <f t="shared" si="3"/>
        <v>154</v>
      </c>
    </row>
    <row r="16" spans="1:20" x14ac:dyDescent="0.25">
      <c r="A16" s="178"/>
      <c r="B16" s="25"/>
      <c r="C16" s="26"/>
      <c r="D16" s="27">
        <f>IF(basic!F15="","",VLOOKUP(basic!F15,男子名次,2,FALSE))</f>
        <v>41</v>
      </c>
      <c r="E16" s="156" t="str">
        <f t="shared" si="4"/>
        <v>Zi-Jun Huang 黃子鈞</v>
      </c>
      <c r="F16" s="29" t="str">
        <f t="shared" si="4"/>
        <v>ROC</v>
      </c>
      <c r="G16" s="84">
        <f t="shared" si="4"/>
        <v>81</v>
      </c>
      <c r="H16" s="30">
        <f t="shared" si="4"/>
        <v>74</v>
      </c>
      <c r="I16" s="31"/>
      <c r="J16" s="65">
        <f t="shared" si="1"/>
        <v>155</v>
      </c>
      <c r="K16" s="178"/>
      <c r="L16" s="25"/>
      <c r="M16" s="26"/>
      <c r="N16" s="27">
        <f>IF(basic!I15="","",VLOOKUP(basic!I15,男子名次,2,FALSE))</f>
        <v>6</v>
      </c>
      <c r="O16" s="156" t="str">
        <f t="shared" si="2"/>
        <v>Wei-Fan Liu 劉威汎</v>
      </c>
      <c r="P16" s="29" t="str">
        <f t="shared" si="2"/>
        <v>ROC</v>
      </c>
      <c r="Q16" s="62">
        <f t="shared" si="2"/>
        <v>78</v>
      </c>
      <c r="R16" s="63">
        <f t="shared" si="2"/>
        <v>80</v>
      </c>
      <c r="S16" s="64"/>
      <c r="T16" s="65">
        <f t="shared" si="3"/>
        <v>158</v>
      </c>
    </row>
    <row r="17" spans="1:20" ht="16.5" customHeight="1" x14ac:dyDescent="0.25">
      <c r="A17" s="178"/>
      <c r="B17" s="33">
        <f>B14+2</f>
        <v>9</v>
      </c>
      <c r="C17" s="34">
        <f>basic!E16</f>
        <v>0.3166666666666666</v>
      </c>
      <c r="D17" s="35">
        <f>IF(basic!F16="","",VLOOKUP(basic!F16,男子名次,2,FALSE))</f>
        <v>43</v>
      </c>
      <c r="E17" s="157" t="str">
        <f t="shared" si="4"/>
        <v>Chung-Chieh Yang 楊浚頡</v>
      </c>
      <c r="F17" s="37" t="str">
        <f t="shared" si="4"/>
        <v>ROC</v>
      </c>
      <c r="G17" s="85">
        <f t="shared" si="4"/>
        <v>70</v>
      </c>
      <c r="H17" s="38">
        <f t="shared" si="4"/>
        <v>80</v>
      </c>
      <c r="I17" s="39"/>
      <c r="J17" s="69">
        <f t="shared" si="1"/>
        <v>150</v>
      </c>
      <c r="K17" s="178"/>
      <c r="L17" s="33">
        <f>L14+2</f>
        <v>10</v>
      </c>
      <c r="M17" s="34">
        <f>basic!H16</f>
        <v>0.3166666666666666</v>
      </c>
      <c r="N17" s="35">
        <f>IF(basic!I16="","",VLOOKUP(basic!I16,男子名次,2,FALSE))</f>
        <v>25</v>
      </c>
      <c r="O17" s="157" t="str">
        <f t="shared" si="2"/>
        <v>Matthew Cheung</v>
      </c>
      <c r="P17" s="37" t="str">
        <f t="shared" si="2"/>
        <v>HKG</v>
      </c>
      <c r="Q17" s="66">
        <f t="shared" si="2"/>
        <v>73</v>
      </c>
      <c r="R17" s="67">
        <f t="shared" si="2"/>
        <v>71</v>
      </c>
      <c r="S17" s="68"/>
      <c r="T17" s="69">
        <f t="shared" si="3"/>
        <v>144</v>
      </c>
    </row>
    <row r="18" spans="1:20" x14ac:dyDescent="0.25">
      <c r="A18" s="178"/>
      <c r="B18" s="41"/>
      <c r="C18" s="18"/>
      <c r="D18" s="19">
        <f>IF(basic!F17="","",VLOOKUP(basic!F17,男子名次,2,FALSE))</f>
        <v>15</v>
      </c>
      <c r="E18" s="155" t="str">
        <f t="shared" si="4"/>
        <v>Yu-Chen Chen 陳宥蓁</v>
      </c>
      <c r="F18" s="21" t="str">
        <f t="shared" si="4"/>
        <v>ROC</v>
      </c>
      <c r="G18" s="83">
        <f t="shared" si="4"/>
        <v>80</v>
      </c>
      <c r="H18" s="22">
        <f t="shared" si="4"/>
        <v>74</v>
      </c>
      <c r="I18" s="23"/>
      <c r="J18" s="61">
        <f t="shared" si="1"/>
        <v>154</v>
      </c>
      <c r="K18" s="178"/>
      <c r="L18" s="41"/>
      <c r="M18" s="18"/>
      <c r="N18" s="19">
        <f>IF(basic!I17="","",VLOOKUP(basic!I17,男子名次,2,FALSE))</f>
        <v>35</v>
      </c>
      <c r="O18" s="155" t="str">
        <f t="shared" si="2"/>
        <v>Sun-Yi Lu 呂孫儀</v>
      </c>
      <c r="P18" s="21" t="str">
        <f t="shared" si="2"/>
        <v>ROC</v>
      </c>
      <c r="Q18" s="58">
        <f t="shared" si="2"/>
        <v>71</v>
      </c>
      <c r="R18" s="59">
        <f t="shared" si="2"/>
        <v>71</v>
      </c>
      <c r="S18" s="60"/>
      <c r="T18" s="61">
        <f t="shared" si="3"/>
        <v>142</v>
      </c>
    </row>
    <row r="19" spans="1:20" x14ac:dyDescent="0.25">
      <c r="A19" s="178"/>
      <c r="B19" s="17"/>
      <c r="C19" s="26"/>
      <c r="D19" s="27">
        <f>IF(basic!F18="","",VLOOKUP(basic!F18,男子名次,2,FALSE))</f>
        <v>6</v>
      </c>
      <c r="E19" s="156" t="str">
        <f t="shared" si="4"/>
        <v>Wei-Fan Liu 劉威汎</v>
      </c>
      <c r="F19" s="29" t="str">
        <f t="shared" si="4"/>
        <v>ROC</v>
      </c>
      <c r="G19" s="84">
        <f t="shared" si="4"/>
        <v>78</v>
      </c>
      <c r="H19" s="30">
        <f t="shared" si="4"/>
        <v>80</v>
      </c>
      <c r="I19" s="31"/>
      <c r="J19" s="65">
        <f t="shared" si="1"/>
        <v>158</v>
      </c>
      <c r="K19" s="178"/>
      <c r="L19" s="17"/>
      <c r="M19" s="26"/>
      <c r="N19" s="27">
        <f>IF(basic!I18="","",VLOOKUP(basic!I18,男子名次,2,FALSE))</f>
        <v>16</v>
      </c>
      <c r="O19" s="156" t="str">
        <f t="shared" si="2"/>
        <v>Wei-Cheng Shen 沈威成</v>
      </c>
      <c r="P19" s="29" t="str">
        <f t="shared" si="2"/>
        <v>ROC</v>
      </c>
      <c r="Q19" s="62">
        <f t="shared" si="2"/>
        <v>75</v>
      </c>
      <c r="R19" s="63">
        <f t="shared" si="2"/>
        <v>74</v>
      </c>
      <c r="S19" s="64"/>
      <c r="T19" s="65">
        <f t="shared" si="3"/>
        <v>149</v>
      </c>
    </row>
    <row r="20" spans="1:20" x14ac:dyDescent="0.25">
      <c r="A20" s="178"/>
      <c r="B20" s="33">
        <f>B17+2</f>
        <v>11</v>
      </c>
      <c r="C20" s="34">
        <f>basic!E19</f>
        <v>0.32291666666666657</v>
      </c>
      <c r="D20" s="35">
        <f>IF(basic!F19="","",VLOOKUP(basic!F19,男子名次,2,FALSE))</f>
        <v>25</v>
      </c>
      <c r="E20" s="157" t="str">
        <f t="shared" si="4"/>
        <v>Matthew Cheung</v>
      </c>
      <c r="F20" s="37" t="str">
        <f t="shared" si="4"/>
        <v>HKG</v>
      </c>
      <c r="G20" s="85">
        <f t="shared" si="4"/>
        <v>73</v>
      </c>
      <c r="H20" s="38">
        <f t="shared" si="4"/>
        <v>71</v>
      </c>
      <c r="I20" s="39"/>
      <c r="J20" s="69">
        <f t="shared" si="1"/>
        <v>144</v>
      </c>
      <c r="K20" s="178"/>
      <c r="L20" s="33">
        <f>L17+2</f>
        <v>12</v>
      </c>
      <c r="M20" s="34">
        <f>basic!H19</f>
        <v>0.32291666666666657</v>
      </c>
      <c r="N20" s="35">
        <f>IF(basic!I19="","",VLOOKUP(basic!I19,男子名次,2,FALSE))</f>
        <v>23</v>
      </c>
      <c r="O20" s="157" t="str">
        <f t="shared" si="2"/>
        <v xml:space="preserve">Aman Raj </v>
      </c>
      <c r="P20" s="37" t="str">
        <f t="shared" si="2"/>
        <v>IND</v>
      </c>
      <c r="Q20" s="66">
        <f t="shared" si="2"/>
        <v>72</v>
      </c>
      <c r="R20" s="67">
        <f t="shared" si="2"/>
        <v>71</v>
      </c>
      <c r="S20" s="68"/>
      <c r="T20" s="69">
        <f t="shared" si="3"/>
        <v>143</v>
      </c>
    </row>
    <row r="21" spans="1:20" x14ac:dyDescent="0.25">
      <c r="A21" s="178"/>
      <c r="B21" s="17"/>
      <c r="C21" s="18"/>
      <c r="D21" s="19">
        <f>IF(basic!F20="","",VLOOKUP(basic!F20,男子名次,2,FALSE))</f>
        <v>35</v>
      </c>
      <c r="E21" s="155" t="str">
        <f t="shared" si="4"/>
        <v>Sun-Yi Lu 呂孫儀</v>
      </c>
      <c r="F21" s="21" t="str">
        <f t="shared" si="4"/>
        <v>ROC</v>
      </c>
      <c r="G21" s="83">
        <f t="shared" si="4"/>
        <v>71</v>
      </c>
      <c r="H21" s="22">
        <f t="shared" si="4"/>
        <v>71</v>
      </c>
      <c r="I21" s="23"/>
      <c r="J21" s="61">
        <f t="shared" si="1"/>
        <v>142</v>
      </c>
      <c r="K21" s="178"/>
      <c r="L21" s="17"/>
      <c r="M21" s="18"/>
      <c r="N21" s="19">
        <f>IF(basic!I20="","",VLOOKUP(basic!I20,男子名次,2,FALSE))</f>
        <v>51</v>
      </c>
      <c r="O21" s="155" t="str">
        <f t="shared" si="2"/>
        <v>Che-Hung Tsai 蔡哲弘</v>
      </c>
      <c r="P21" s="21" t="str">
        <f t="shared" si="2"/>
        <v>ROC</v>
      </c>
      <c r="Q21" s="58">
        <f t="shared" si="2"/>
        <v>74</v>
      </c>
      <c r="R21" s="59">
        <f t="shared" si="2"/>
        <v>69</v>
      </c>
      <c r="S21" s="60"/>
      <c r="T21" s="61">
        <f t="shared" si="3"/>
        <v>143</v>
      </c>
    </row>
    <row r="22" spans="1:20" x14ac:dyDescent="0.25">
      <c r="A22" s="178"/>
      <c r="B22" s="25"/>
      <c r="C22" s="26"/>
      <c r="D22" s="27">
        <f>IF(basic!F21="","",VLOOKUP(basic!F21,男子名次,2,FALSE))</f>
        <v>16</v>
      </c>
      <c r="E22" s="156" t="str">
        <f t="shared" si="4"/>
        <v>Wei-Cheng Shen 沈威成</v>
      </c>
      <c r="F22" s="29" t="str">
        <f t="shared" si="4"/>
        <v>ROC</v>
      </c>
      <c r="G22" s="84">
        <f t="shared" si="4"/>
        <v>75</v>
      </c>
      <c r="H22" s="30">
        <f t="shared" si="4"/>
        <v>74</v>
      </c>
      <c r="I22" s="31"/>
      <c r="J22" s="65">
        <f t="shared" si="1"/>
        <v>149</v>
      </c>
      <c r="K22" s="178"/>
      <c r="L22" s="25"/>
      <c r="M22" s="26"/>
      <c r="N22" s="27">
        <f>IF(basic!I21="","",VLOOKUP(basic!I21,男子名次,2,FALSE))</f>
        <v>38</v>
      </c>
      <c r="O22" s="156" t="str">
        <f t="shared" si="2"/>
        <v>Han-Ting Chiu 邱瀚霆</v>
      </c>
      <c r="P22" s="29" t="str">
        <f t="shared" si="2"/>
        <v>ROC</v>
      </c>
      <c r="Q22" s="62">
        <f t="shared" si="2"/>
        <v>72</v>
      </c>
      <c r="R22" s="63">
        <f t="shared" si="2"/>
        <v>69</v>
      </c>
      <c r="S22" s="64"/>
      <c r="T22" s="65">
        <f t="shared" si="3"/>
        <v>141</v>
      </c>
    </row>
    <row r="23" spans="1:20" x14ac:dyDescent="0.25">
      <c r="A23" s="178"/>
      <c r="B23" s="33">
        <f>B20+2</f>
        <v>13</v>
      </c>
      <c r="C23" s="34">
        <f>basic!E22</f>
        <v>0.32916666666666655</v>
      </c>
      <c r="D23" s="35">
        <f>IF(basic!F22="","",VLOOKUP(basic!F22,男子名次,2,FALSE))</f>
        <v>23</v>
      </c>
      <c r="E23" s="157" t="str">
        <f t="shared" si="4"/>
        <v xml:space="preserve">Aman Raj </v>
      </c>
      <c r="F23" s="37" t="str">
        <f t="shared" si="4"/>
        <v>IND</v>
      </c>
      <c r="G23" s="85">
        <f t="shared" si="4"/>
        <v>72</v>
      </c>
      <c r="H23" s="38">
        <f t="shared" si="4"/>
        <v>71</v>
      </c>
      <c r="I23" s="39"/>
      <c r="J23" s="69">
        <f t="shared" si="1"/>
        <v>143</v>
      </c>
      <c r="K23" s="178"/>
      <c r="L23" s="33">
        <f>L20+2</f>
        <v>14</v>
      </c>
      <c r="M23" s="34">
        <f>basic!H22</f>
        <v>0.32916666666666655</v>
      </c>
      <c r="N23" s="35">
        <f>IF(basic!I22="","",VLOOKUP(basic!I22,男子名次,2,FALSE))</f>
        <v>34</v>
      </c>
      <c r="O23" s="157" t="str">
        <f t="shared" si="2"/>
        <v>Sangchai Kaewcharoen</v>
      </c>
      <c r="P23" s="37" t="str">
        <f t="shared" si="2"/>
        <v>THA</v>
      </c>
      <c r="Q23" s="66">
        <f t="shared" si="2"/>
        <v>75</v>
      </c>
      <c r="R23" s="67">
        <f t="shared" si="2"/>
        <v>66</v>
      </c>
      <c r="S23" s="68"/>
      <c r="T23" s="69">
        <f t="shared" si="3"/>
        <v>141</v>
      </c>
    </row>
    <row r="24" spans="1:20" x14ac:dyDescent="0.25">
      <c r="A24" s="178"/>
      <c r="B24" s="41"/>
      <c r="C24" s="18"/>
      <c r="D24" s="19">
        <f>IF(basic!F23="","",VLOOKUP(basic!F23,男子名次,2,FALSE))</f>
        <v>51</v>
      </c>
      <c r="E24" s="155" t="str">
        <f t="shared" si="4"/>
        <v>Che-Hung Tsai 蔡哲弘</v>
      </c>
      <c r="F24" s="21" t="str">
        <f t="shared" si="4"/>
        <v>ROC</v>
      </c>
      <c r="G24" s="83">
        <f t="shared" si="4"/>
        <v>74</v>
      </c>
      <c r="H24" s="22">
        <f t="shared" si="4"/>
        <v>69</v>
      </c>
      <c r="I24" s="23"/>
      <c r="J24" s="61">
        <f t="shared" si="1"/>
        <v>143</v>
      </c>
      <c r="K24" s="178"/>
      <c r="L24" s="41"/>
      <c r="M24" s="18"/>
      <c r="N24" s="19">
        <f>IF(basic!I23="","",VLOOKUP(basic!I23,男子名次,2,FALSE))</f>
        <v>31</v>
      </c>
      <c r="O24" s="155" t="str">
        <f t="shared" si="2"/>
        <v>Gregory Foo</v>
      </c>
      <c r="P24" s="21" t="str">
        <f t="shared" si="2"/>
        <v>SIN</v>
      </c>
      <c r="Q24" s="58">
        <f t="shared" si="2"/>
        <v>78</v>
      </c>
      <c r="R24" s="59">
        <f t="shared" si="2"/>
        <v>69</v>
      </c>
      <c r="S24" s="60"/>
      <c r="T24" s="61">
        <f t="shared" si="3"/>
        <v>147</v>
      </c>
    </row>
    <row r="25" spans="1:20" x14ac:dyDescent="0.25">
      <c r="A25" s="178"/>
      <c r="B25" s="17"/>
      <c r="C25" s="26"/>
      <c r="D25" s="27">
        <f>IF(basic!F24="","",VLOOKUP(basic!F24,男子名次,2,FALSE))</f>
        <v>38</v>
      </c>
      <c r="E25" s="156" t="str">
        <f t="shared" ref="E25:H31" si="5">IF($D25="","",VLOOKUP($D25,名單,COLUMN()-3,FALSE))</f>
        <v>Han-Ting Chiu 邱瀚霆</v>
      </c>
      <c r="F25" s="29" t="str">
        <f t="shared" si="5"/>
        <v>ROC</v>
      </c>
      <c r="G25" s="84">
        <f t="shared" si="5"/>
        <v>72</v>
      </c>
      <c r="H25" s="30">
        <f t="shared" si="5"/>
        <v>69</v>
      </c>
      <c r="I25" s="31"/>
      <c r="J25" s="65">
        <f t="shared" si="1"/>
        <v>141</v>
      </c>
      <c r="K25" s="178"/>
      <c r="L25" s="17"/>
      <c r="M25" s="26"/>
      <c r="N25" s="27">
        <f>IF(basic!I24="","",VLOOKUP(basic!I24,男子名次,2,FALSE))</f>
        <v>28</v>
      </c>
      <c r="O25" s="156" t="str">
        <f t="shared" ref="O25:R34" si="6">IF($N25="","",VLOOKUP($N25,名單,COLUMN()-13,FALSE))</f>
        <v>Marc Ong</v>
      </c>
      <c r="P25" s="29" t="str">
        <f t="shared" si="6"/>
        <v>SIN</v>
      </c>
      <c r="Q25" s="62">
        <f t="shared" si="6"/>
        <v>72</v>
      </c>
      <c r="R25" s="63">
        <f t="shared" si="6"/>
        <v>74</v>
      </c>
      <c r="S25" s="64"/>
      <c r="T25" s="65">
        <f t="shared" si="3"/>
        <v>146</v>
      </c>
    </row>
    <row r="26" spans="1:20" x14ac:dyDescent="0.25">
      <c r="A26" s="178"/>
      <c r="B26" s="33">
        <f>B23+2</f>
        <v>15</v>
      </c>
      <c r="C26" s="34">
        <f>basic!E25</f>
        <v>0.33541666666666653</v>
      </c>
      <c r="D26" s="35">
        <f>IF(basic!F25="","",VLOOKUP(basic!F25,男子名次,2,FALSE))</f>
        <v>34</v>
      </c>
      <c r="E26" s="157" t="str">
        <f t="shared" si="5"/>
        <v>Sangchai Kaewcharoen</v>
      </c>
      <c r="F26" s="37" t="str">
        <f t="shared" si="5"/>
        <v>THA</v>
      </c>
      <c r="G26" s="85">
        <f t="shared" si="5"/>
        <v>75</v>
      </c>
      <c r="H26" s="38">
        <f t="shared" si="5"/>
        <v>66</v>
      </c>
      <c r="I26" s="39"/>
      <c r="J26" s="69">
        <f t="shared" si="1"/>
        <v>141</v>
      </c>
      <c r="K26" s="178"/>
      <c r="L26" s="33">
        <f>L23+2</f>
        <v>16</v>
      </c>
      <c r="M26" s="34">
        <f>basic!H25</f>
        <v>0.33541666666666653</v>
      </c>
      <c r="N26" s="35">
        <f>IF(basic!I25="","",VLOOKUP(basic!I25,男子名次,2,FALSE))</f>
        <v>26</v>
      </c>
      <c r="O26" s="157" t="str">
        <f t="shared" si="6"/>
        <v>Viraaj Madappa</v>
      </c>
      <c r="P26" s="37" t="str">
        <f t="shared" si="6"/>
        <v>IND</v>
      </c>
      <c r="Q26" s="66">
        <f t="shared" si="6"/>
        <v>70</v>
      </c>
      <c r="R26" s="67">
        <f t="shared" si="6"/>
        <v>72</v>
      </c>
      <c r="S26" s="68"/>
      <c r="T26" s="69">
        <f t="shared" si="3"/>
        <v>142</v>
      </c>
    </row>
    <row r="27" spans="1:20" x14ac:dyDescent="0.25">
      <c r="A27" s="178"/>
      <c r="B27" s="17"/>
      <c r="C27" s="18"/>
      <c r="D27" s="19">
        <f>IF(basic!F26="","",VLOOKUP(basic!F26,男子名次,2,FALSE))</f>
        <v>31</v>
      </c>
      <c r="E27" s="155" t="str">
        <f t="shared" si="5"/>
        <v>Gregory Foo</v>
      </c>
      <c r="F27" s="21" t="str">
        <f t="shared" si="5"/>
        <v>SIN</v>
      </c>
      <c r="G27" s="83">
        <f t="shared" si="5"/>
        <v>78</v>
      </c>
      <c r="H27" s="22">
        <f t="shared" si="5"/>
        <v>69</v>
      </c>
      <c r="I27" s="23"/>
      <c r="J27" s="61">
        <f t="shared" si="1"/>
        <v>147</v>
      </c>
      <c r="K27" s="178"/>
      <c r="L27" s="17"/>
      <c r="M27" s="18"/>
      <c r="N27" s="19">
        <f>IF(basic!I26="","",VLOOKUP(basic!I26,男子名次,2,FALSE))</f>
        <v>37</v>
      </c>
      <c r="O27" s="155" t="str">
        <f t="shared" si="6"/>
        <v>Sadom Kaewkanjana</v>
      </c>
      <c r="P27" s="21" t="str">
        <f t="shared" si="6"/>
        <v>THA</v>
      </c>
      <c r="Q27" s="58">
        <f t="shared" si="6"/>
        <v>70</v>
      </c>
      <c r="R27" s="59">
        <f t="shared" si="6"/>
        <v>70</v>
      </c>
      <c r="S27" s="60"/>
      <c r="T27" s="61">
        <f t="shared" si="3"/>
        <v>140</v>
      </c>
    </row>
    <row r="28" spans="1:20" x14ac:dyDescent="0.25">
      <c r="A28" s="178"/>
      <c r="B28" s="25"/>
      <c r="C28" s="26"/>
      <c r="D28" s="19">
        <f>IF(basic!F27="","",VLOOKUP(basic!F27,男子名次,2,FALSE))</f>
        <v>28</v>
      </c>
      <c r="E28" s="155" t="str">
        <f t="shared" si="5"/>
        <v>Marc Ong</v>
      </c>
      <c r="F28" s="21" t="str">
        <f t="shared" si="5"/>
        <v>SIN</v>
      </c>
      <c r="G28" s="83">
        <f t="shared" si="5"/>
        <v>72</v>
      </c>
      <c r="H28" s="22">
        <f t="shared" si="5"/>
        <v>74</v>
      </c>
      <c r="I28" s="23"/>
      <c r="J28" s="61">
        <f t="shared" si="1"/>
        <v>146</v>
      </c>
      <c r="K28" s="178"/>
      <c r="L28" s="25"/>
      <c r="M28" s="26"/>
      <c r="N28" s="19">
        <f>IF(basic!I27="","",VLOOKUP(basic!I27,男子名次,2,FALSE))</f>
        <v>32</v>
      </c>
      <c r="O28" s="155" t="str">
        <f t="shared" si="6"/>
        <v>Lloyd Jefferson Go</v>
      </c>
      <c r="P28" s="21" t="str">
        <f t="shared" si="6"/>
        <v>PHI</v>
      </c>
      <c r="Q28" s="58">
        <f t="shared" si="6"/>
        <v>71</v>
      </c>
      <c r="R28" s="59">
        <f t="shared" si="6"/>
        <v>72</v>
      </c>
      <c r="S28" s="60"/>
      <c r="T28" s="61">
        <f t="shared" si="3"/>
        <v>143</v>
      </c>
    </row>
    <row r="29" spans="1:20" x14ac:dyDescent="0.25">
      <c r="A29" s="178"/>
      <c r="B29" s="33">
        <v>17</v>
      </c>
      <c r="C29" s="34">
        <f>basic!E28</f>
        <v>0.34166666666666651</v>
      </c>
      <c r="D29" s="35">
        <f>IF(basic!F28="","",VLOOKUP(basic!F28,男子名次,2,FALSE))</f>
        <v>26</v>
      </c>
      <c r="E29" s="157" t="str">
        <f t="shared" si="5"/>
        <v>Viraaj Madappa</v>
      </c>
      <c r="F29" s="37" t="str">
        <f t="shared" si="5"/>
        <v>IND</v>
      </c>
      <c r="G29" s="85">
        <f t="shared" si="5"/>
        <v>70</v>
      </c>
      <c r="H29" s="38">
        <f t="shared" si="5"/>
        <v>72</v>
      </c>
      <c r="I29" s="39"/>
      <c r="J29" s="69">
        <f t="shared" si="1"/>
        <v>142</v>
      </c>
      <c r="K29" s="178"/>
      <c r="L29" s="33">
        <v>17</v>
      </c>
      <c r="M29" s="34">
        <f>basic!H28</f>
        <v>0</v>
      </c>
      <c r="N29" s="35" t="str">
        <f>IF(basic!I28="","",VLOOKUP(basic!I28,男子名次,2,FALSE))</f>
        <v/>
      </c>
      <c r="O29" s="157" t="str">
        <f t="shared" si="6"/>
        <v/>
      </c>
      <c r="P29" s="37" t="str">
        <f t="shared" si="6"/>
        <v/>
      </c>
      <c r="Q29" s="66" t="str">
        <f t="shared" si="6"/>
        <v/>
      </c>
      <c r="R29" s="67" t="str">
        <f t="shared" si="6"/>
        <v/>
      </c>
      <c r="S29" s="68"/>
      <c r="T29" s="69">
        <f t="shared" si="3"/>
        <v>0</v>
      </c>
    </row>
    <row r="30" spans="1:20" x14ac:dyDescent="0.25">
      <c r="A30" s="178"/>
      <c r="B30" s="41"/>
      <c r="C30" s="18"/>
      <c r="D30" s="19">
        <f>IF(basic!F29="","",VLOOKUP(basic!F29,男子名次,2,FALSE))</f>
        <v>37</v>
      </c>
      <c r="E30" s="155" t="str">
        <f t="shared" si="5"/>
        <v>Sadom Kaewkanjana</v>
      </c>
      <c r="F30" s="21" t="str">
        <f t="shared" si="5"/>
        <v>THA</v>
      </c>
      <c r="G30" s="83">
        <f t="shared" si="5"/>
        <v>70</v>
      </c>
      <c r="H30" s="22">
        <f t="shared" si="5"/>
        <v>70</v>
      </c>
      <c r="I30" s="23"/>
      <c r="J30" s="61">
        <f t="shared" si="1"/>
        <v>140</v>
      </c>
      <c r="K30" s="178"/>
      <c r="L30" s="41"/>
      <c r="M30" s="18"/>
      <c r="N30" s="19" t="str">
        <f>IF(basic!I29="","",VLOOKUP(basic!I29,男子名次,2,FALSE))</f>
        <v/>
      </c>
      <c r="O30" s="155" t="str">
        <f t="shared" si="6"/>
        <v/>
      </c>
      <c r="P30" s="21" t="str">
        <f t="shared" si="6"/>
        <v/>
      </c>
      <c r="Q30" s="58" t="str">
        <f t="shared" si="6"/>
        <v/>
      </c>
      <c r="R30" s="59" t="str">
        <f t="shared" si="6"/>
        <v/>
      </c>
      <c r="S30" s="60"/>
      <c r="T30" s="61">
        <f t="shared" si="3"/>
        <v>0</v>
      </c>
    </row>
    <row r="31" spans="1:20" x14ac:dyDescent="0.25">
      <c r="A31" s="178"/>
      <c r="B31" s="17"/>
      <c r="C31" s="26"/>
      <c r="D31" s="27">
        <f>IF(basic!F30="","",VLOOKUP(basic!F30,男子名次,2,FALSE))</f>
        <v>32</v>
      </c>
      <c r="E31" s="156" t="str">
        <f t="shared" si="5"/>
        <v>Lloyd Jefferson Go</v>
      </c>
      <c r="F31" s="29" t="str">
        <f t="shared" si="5"/>
        <v>PHI</v>
      </c>
      <c r="G31" s="84">
        <f t="shared" si="5"/>
        <v>71</v>
      </c>
      <c r="H31" s="30">
        <f t="shared" si="5"/>
        <v>72</v>
      </c>
      <c r="I31" s="31"/>
      <c r="J31" s="65">
        <f t="shared" si="1"/>
        <v>143</v>
      </c>
      <c r="K31" s="178"/>
      <c r="L31" s="17"/>
      <c r="M31" s="26"/>
      <c r="N31" s="27" t="str">
        <f>IF(basic!I30="","",VLOOKUP(basic!I30,男子名次,2,FALSE))</f>
        <v/>
      </c>
      <c r="O31" s="156" t="str">
        <f t="shared" si="6"/>
        <v/>
      </c>
      <c r="P31" s="29" t="str">
        <f t="shared" si="6"/>
        <v/>
      </c>
      <c r="Q31" s="62" t="str">
        <f t="shared" si="6"/>
        <v/>
      </c>
      <c r="R31" s="63" t="str">
        <f t="shared" si="6"/>
        <v/>
      </c>
      <c r="S31" s="64"/>
      <c r="T31" s="65">
        <f t="shared" si="3"/>
        <v>0</v>
      </c>
    </row>
    <row r="32" spans="1:20" x14ac:dyDescent="0.25">
      <c r="A32" s="42"/>
      <c r="B32" s="33"/>
      <c r="C32" s="34"/>
      <c r="D32" s="35" t="str">
        <f>IF(basic!F46="","",VLOOKUP(basic!F46,男子名次,2,FALSE))</f>
        <v/>
      </c>
      <c r="E32" s="157" t="str">
        <f t="shared" ref="E32:H34" si="7">IF($D32="","",VLOOKUP($D32,名單,COLUMN()-3,FALSE))</f>
        <v/>
      </c>
      <c r="F32" s="37" t="str">
        <f t="shared" si="7"/>
        <v/>
      </c>
      <c r="G32" s="85" t="str">
        <f t="shared" si="7"/>
        <v/>
      </c>
      <c r="H32" s="38" t="str">
        <f t="shared" si="7"/>
        <v/>
      </c>
      <c r="I32" s="39"/>
      <c r="J32" s="69">
        <f t="shared" si="1"/>
        <v>0</v>
      </c>
      <c r="K32" s="42"/>
      <c r="L32" s="33"/>
      <c r="M32" s="34" t="str">
        <f>basic!H46</f>
        <v/>
      </c>
      <c r="N32" s="35" t="str">
        <f>IF(basic!I46="","",VLOOKUP(basic!I46,女子名次,2,FALSE))</f>
        <v/>
      </c>
      <c r="O32" s="157" t="str">
        <f t="shared" si="6"/>
        <v/>
      </c>
      <c r="P32" s="37" t="str">
        <f t="shared" si="6"/>
        <v/>
      </c>
      <c r="Q32" s="66" t="str">
        <f t="shared" si="6"/>
        <v/>
      </c>
      <c r="R32" s="67" t="str">
        <f t="shared" si="6"/>
        <v/>
      </c>
      <c r="S32" s="68"/>
      <c r="T32" s="69">
        <f t="shared" si="3"/>
        <v>0</v>
      </c>
    </row>
    <row r="33" spans="1:20" x14ac:dyDescent="0.25">
      <c r="A33" s="42"/>
      <c r="B33" s="41"/>
      <c r="C33" s="18"/>
      <c r="D33" s="19" t="str">
        <f>IF(basic!F47="","",VLOOKUP(basic!F47,男子名次,2,FALSE))</f>
        <v/>
      </c>
      <c r="E33" s="155" t="str">
        <f t="shared" si="7"/>
        <v/>
      </c>
      <c r="F33" s="21" t="str">
        <f t="shared" si="7"/>
        <v/>
      </c>
      <c r="G33" s="83" t="str">
        <f t="shared" si="7"/>
        <v/>
      </c>
      <c r="H33" s="22" t="str">
        <f t="shared" si="7"/>
        <v/>
      </c>
      <c r="I33" s="23"/>
      <c r="J33" s="61">
        <f t="shared" si="1"/>
        <v>0</v>
      </c>
      <c r="K33" s="42"/>
      <c r="L33" s="17"/>
      <c r="M33" s="18"/>
      <c r="N33" s="19" t="str">
        <f>IF(basic!I47="","",VLOOKUP(basic!I47,女子名次,2,FALSE))</f>
        <v/>
      </c>
      <c r="O33" s="155" t="str">
        <f t="shared" si="6"/>
        <v/>
      </c>
      <c r="P33" s="21" t="str">
        <f t="shared" si="6"/>
        <v/>
      </c>
      <c r="Q33" s="58" t="str">
        <f t="shared" si="6"/>
        <v/>
      </c>
      <c r="R33" s="59" t="str">
        <f t="shared" si="6"/>
        <v/>
      </c>
      <c r="S33" s="60"/>
      <c r="T33" s="61">
        <f t="shared" si="3"/>
        <v>0</v>
      </c>
    </row>
    <row r="34" spans="1:20" ht="17.25" thickBot="1" x14ac:dyDescent="0.3">
      <c r="A34" s="54"/>
      <c r="B34" s="142"/>
      <c r="C34" s="50"/>
      <c r="D34" s="88" t="str">
        <f>IF(basic!F48="","",VLOOKUP(basic!F48,男子名次,2,FALSE))</f>
        <v/>
      </c>
      <c r="E34" s="168" t="str">
        <f t="shared" si="7"/>
        <v/>
      </c>
      <c r="F34" s="89" t="str">
        <f t="shared" si="7"/>
        <v/>
      </c>
      <c r="G34" s="90" t="str">
        <f t="shared" si="7"/>
        <v/>
      </c>
      <c r="H34" s="91" t="str">
        <f t="shared" si="7"/>
        <v/>
      </c>
      <c r="I34" s="92"/>
      <c r="J34" s="93">
        <f t="shared" si="1"/>
        <v>0</v>
      </c>
      <c r="K34" s="54"/>
      <c r="L34" s="142"/>
      <c r="M34" s="50"/>
      <c r="N34" s="88" t="str">
        <f>IF(basic!I48="","",VLOOKUP(basic!I48,女子名次,2,FALSE))</f>
        <v/>
      </c>
      <c r="O34" s="168" t="str">
        <f t="shared" si="6"/>
        <v/>
      </c>
      <c r="P34" s="89" t="str">
        <f t="shared" si="6"/>
        <v/>
      </c>
      <c r="Q34" s="94" t="str">
        <f t="shared" si="6"/>
        <v/>
      </c>
      <c r="R34" s="95" t="str">
        <f t="shared" si="6"/>
        <v/>
      </c>
      <c r="S34" s="96"/>
      <c r="T34" s="93">
        <f t="shared" si="3"/>
        <v>0</v>
      </c>
    </row>
  </sheetData>
  <mergeCells count="8">
    <mergeCell ref="A5:A13"/>
    <mergeCell ref="A14:A31"/>
    <mergeCell ref="K5:K31"/>
    <mergeCell ref="A1:T1"/>
    <mergeCell ref="A3:G3"/>
    <mergeCell ref="B4:E4"/>
    <mergeCell ref="L4:O4"/>
    <mergeCell ref="A2:T2"/>
  </mergeCells>
  <phoneticPr fontId="2" type="noConversion"/>
  <conditionalFormatting sqref="G5:I34">
    <cfRule type="cellIs" dxfId="7" priority="3" operator="lessThan">
      <formula>72</formula>
    </cfRule>
    <cfRule type="cellIs" dxfId="6" priority="4" operator="equal">
      <formula>72</formula>
    </cfRule>
  </conditionalFormatting>
  <conditionalFormatting sqref="T5:T34 J5:J34">
    <cfRule type="cellIs" dxfId="5" priority="1" operator="lessThan">
      <formula>144</formula>
    </cfRule>
    <cfRule type="cellIs" dxfId="4" priority="2" operator="equal">
      <formula>144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zoomScaleNormal="100" workbookViewId="0">
      <selection activeCell="W27" sqref="W27"/>
    </sheetView>
  </sheetViews>
  <sheetFormatPr defaultRowHeight="16.5" x14ac:dyDescent="0.25"/>
  <cols>
    <col min="1" max="1" width="2.875" customWidth="1"/>
    <col min="2" max="2" width="3.375" customWidth="1"/>
    <col min="3" max="3" width="6.625" customWidth="1"/>
    <col min="4" max="4" width="3.625" customWidth="1"/>
    <col min="5" max="5" width="20.625" customWidth="1"/>
    <col min="6" max="6" width="7.625" customWidth="1"/>
    <col min="7" max="9" width="3.875" customWidth="1"/>
    <col min="10" max="10" width="4.5" customWidth="1"/>
    <col min="11" max="11" width="2.875" customWidth="1"/>
    <col min="12" max="12" width="3.375" customWidth="1"/>
    <col min="13" max="13" width="6.625" customWidth="1"/>
    <col min="14" max="14" width="3.625" customWidth="1"/>
    <col min="15" max="15" width="20.625" customWidth="1"/>
    <col min="16" max="16" width="6.625" customWidth="1"/>
    <col min="17" max="19" width="3.875" customWidth="1"/>
    <col min="20" max="20" width="4.5" customWidth="1"/>
  </cols>
  <sheetData>
    <row r="1" spans="1:20" ht="24" customHeight="1" x14ac:dyDescent="0.3">
      <c r="A1" s="172" t="str">
        <f>'R1'!A1:T1</f>
        <v xml:space="preserve">　　2015年台灣業餘高爾夫錦標賽 /2015 TAIWAN  AMATEUR GOLF CHAMPIONSHIP  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</row>
    <row r="2" spans="1:20" ht="24" customHeight="1" x14ac:dyDescent="0.25">
      <c r="A2" s="173" t="s">
        <v>22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</row>
    <row r="3" spans="1:20" x14ac:dyDescent="0.25">
      <c r="A3" s="174" t="s">
        <v>58</v>
      </c>
      <c r="B3" s="174"/>
      <c r="C3" s="174"/>
      <c r="D3" s="174"/>
      <c r="E3" s="174"/>
      <c r="F3" s="174"/>
      <c r="G3" s="174"/>
      <c r="H3" s="1"/>
      <c r="I3" s="2"/>
      <c r="J3" s="3"/>
      <c r="K3" s="3"/>
      <c r="L3" s="146" t="str">
        <f>'R1'!L3</f>
        <v>地點：揚昇高爾夫鄉村俱樂部 Sunrise Golf &amp; Country Club</v>
      </c>
      <c r="M3" s="146"/>
      <c r="N3" s="146"/>
      <c r="O3" s="146"/>
      <c r="P3" s="146"/>
      <c r="Q3" s="146"/>
      <c r="R3" s="146"/>
      <c r="S3" s="146"/>
      <c r="T3" s="2"/>
    </row>
    <row r="4" spans="1:20" ht="16.899999999999999" thickBot="1" x14ac:dyDescent="0.35">
      <c r="A4" s="2"/>
      <c r="B4" s="175" t="s">
        <v>23</v>
      </c>
      <c r="C4" s="175"/>
      <c r="D4" s="175"/>
      <c r="E4" s="175"/>
      <c r="F4" s="4"/>
      <c r="G4" s="5"/>
      <c r="H4" s="6"/>
      <c r="I4" s="6"/>
      <c r="J4" s="2"/>
      <c r="K4" s="7"/>
      <c r="L4" s="176" t="s">
        <v>24</v>
      </c>
      <c r="M4" s="176"/>
      <c r="N4" s="176"/>
      <c r="O4" s="176"/>
      <c r="P4" s="8"/>
      <c r="Q4" s="8"/>
      <c r="R4" s="6"/>
      <c r="S4" s="6"/>
      <c r="T4" s="6"/>
    </row>
    <row r="5" spans="1:20" ht="16.5" customHeight="1" x14ac:dyDescent="0.25">
      <c r="A5" s="180" t="s">
        <v>4</v>
      </c>
      <c r="B5" s="78">
        <f>basic!D4</f>
        <v>1</v>
      </c>
      <c r="C5" s="10">
        <f>basic!E4</f>
        <v>0.29166666666666669</v>
      </c>
      <c r="D5" s="11">
        <f>IF(basic!F4="","",VLOOKUP(basic!F4,男子名次,2,FALSE))</f>
        <v>48</v>
      </c>
      <c r="E5" s="12" t="str">
        <f t="shared" ref="E5:I14" si="0">IF($D5="","",VLOOKUP($D5,名單,COLUMN()-3,FALSE))</f>
        <v>Yu-Chiao Chang 張育僑</v>
      </c>
      <c r="F5" s="13" t="str">
        <f t="shared" si="0"/>
        <v>ROC</v>
      </c>
      <c r="G5" s="82">
        <f t="shared" si="0"/>
        <v>82</v>
      </c>
      <c r="H5" s="14">
        <f t="shared" si="0"/>
        <v>75</v>
      </c>
      <c r="I5" s="15">
        <f t="shared" si="0"/>
        <v>79</v>
      </c>
      <c r="J5" s="57">
        <f t="shared" ref="J5:J34" si="1">SUM(G5:I5)</f>
        <v>236</v>
      </c>
      <c r="K5" s="182" t="s">
        <v>18</v>
      </c>
      <c r="L5" s="78">
        <f>basic!G4</f>
        <v>2</v>
      </c>
      <c r="M5" s="10">
        <f>basic!H4</f>
        <v>0.29166666666666669</v>
      </c>
      <c r="N5" s="11">
        <f>IF(basic!I4="","",VLOOKUP(basic!I4,男子名次,2,FALSE))</f>
        <v>17</v>
      </c>
      <c r="O5" s="12" t="str">
        <f t="shared" ref="O5:S14" si="2">IF($N5="","",VLOOKUP($N5,名單,COLUMN()-13,FALSE))</f>
        <v xml:space="preserve">Kaito Kitazoe </v>
      </c>
      <c r="P5" s="13" t="str">
        <f t="shared" si="2"/>
        <v>JPN</v>
      </c>
      <c r="Q5" s="82">
        <f t="shared" si="2"/>
        <v>77</v>
      </c>
      <c r="R5" s="14">
        <f t="shared" si="2"/>
        <v>79</v>
      </c>
      <c r="S5" s="15">
        <f t="shared" si="2"/>
        <v>84</v>
      </c>
      <c r="T5" s="57">
        <f t="shared" ref="T5:T33" si="3">SUM(Q5:S5)</f>
        <v>240</v>
      </c>
    </row>
    <row r="6" spans="1:20" x14ac:dyDescent="0.25">
      <c r="A6" s="178"/>
      <c r="B6" s="79"/>
      <c r="C6" s="18"/>
      <c r="D6" s="19">
        <f>IF(basic!F5="","",VLOOKUP(basic!F5,男子名次,2,FALSE))</f>
        <v>27</v>
      </c>
      <c r="E6" s="20" t="str">
        <f t="shared" si="0"/>
        <v>Li-Hsin Chung 鍾力新</v>
      </c>
      <c r="F6" s="21" t="str">
        <f t="shared" si="0"/>
        <v>ROC</v>
      </c>
      <c r="G6" s="83">
        <f t="shared" si="0"/>
        <v>80</v>
      </c>
      <c r="H6" s="22">
        <f t="shared" si="0"/>
        <v>78</v>
      </c>
      <c r="I6" s="23">
        <f t="shared" si="0"/>
        <v>79</v>
      </c>
      <c r="J6" s="61">
        <f t="shared" si="1"/>
        <v>237</v>
      </c>
      <c r="K6" s="183"/>
      <c r="L6" s="79"/>
      <c r="M6" s="18"/>
      <c r="N6" s="19">
        <f>IF(basic!I5="","",VLOOKUP(basic!I5,男子名次,2,FALSE))</f>
        <v>18</v>
      </c>
      <c r="O6" s="20" t="str">
        <f t="shared" si="2"/>
        <v>Hsiu-Chi Chang 張修齊</v>
      </c>
      <c r="P6" s="21" t="str">
        <f t="shared" si="2"/>
        <v>ROC</v>
      </c>
      <c r="Q6" s="83">
        <f t="shared" si="2"/>
        <v>82</v>
      </c>
      <c r="R6" s="22">
        <f t="shared" si="2"/>
        <v>77</v>
      </c>
      <c r="S6" s="23">
        <f t="shared" si="2"/>
        <v>82</v>
      </c>
      <c r="T6" s="61">
        <f t="shared" si="3"/>
        <v>241</v>
      </c>
    </row>
    <row r="7" spans="1:20" x14ac:dyDescent="0.25">
      <c r="A7" s="178"/>
      <c r="B7" s="80"/>
      <c r="C7" s="26"/>
      <c r="D7" s="27" t="str">
        <f>IF(basic!F6="","",VLOOKUP(basic!F6,男子名次,2,FALSE))</f>
        <v/>
      </c>
      <c r="E7" s="28" t="str">
        <f t="shared" si="0"/>
        <v/>
      </c>
      <c r="F7" s="29" t="str">
        <f t="shared" si="0"/>
        <v/>
      </c>
      <c r="G7" s="84" t="str">
        <f t="shared" si="0"/>
        <v/>
      </c>
      <c r="H7" s="30" t="str">
        <f t="shared" si="0"/>
        <v/>
      </c>
      <c r="I7" s="31" t="str">
        <f t="shared" si="0"/>
        <v/>
      </c>
      <c r="J7" s="65">
        <f t="shared" si="1"/>
        <v>0</v>
      </c>
      <c r="K7" s="183"/>
      <c r="L7" s="80"/>
      <c r="M7" s="26"/>
      <c r="N7" s="27">
        <f>IF(basic!I6="","",VLOOKUP(basic!I6,男子名次,2,FALSE))</f>
        <v>24</v>
      </c>
      <c r="O7" s="28" t="str">
        <f t="shared" si="2"/>
        <v>Yi-Tseng Huang  黃議增</v>
      </c>
      <c r="P7" s="29" t="str">
        <f t="shared" si="2"/>
        <v>ROC</v>
      </c>
      <c r="Q7" s="84">
        <f t="shared" si="2"/>
        <v>80</v>
      </c>
      <c r="R7" s="30">
        <f t="shared" si="2"/>
        <v>78</v>
      </c>
      <c r="S7" s="31">
        <f t="shared" si="2"/>
        <v>92</v>
      </c>
      <c r="T7" s="65">
        <f t="shared" si="3"/>
        <v>250</v>
      </c>
    </row>
    <row r="8" spans="1:20" x14ac:dyDescent="0.25">
      <c r="A8" s="178"/>
      <c r="B8" s="81">
        <f>basic!D7</f>
        <v>3</v>
      </c>
      <c r="C8" s="34">
        <f>basic!E7</f>
        <v>0.29791666666666666</v>
      </c>
      <c r="D8" s="35">
        <f>IF(basic!F7="","",VLOOKUP(basic!F7,男子名次,2,FALSE))</f>
        <v>8</v>
      </c>
      <c r="E8" s="36" t="str">
        <f t="shared" si="0"/>
        <v>Tiger Lee</v>
      </c>
      <c r="F8" s="37" t="str">
        <f t="shared" si="0"/>
        <v>HKG</v>
      </c>
      <c r="G8" s="85">
        <f t="shared" si="0"/>
        <v>74</v>
      </c>
      <c r="H8" s="38">
        <f t="shared" si="0"/>
        <v>75</v>
      </c>
      <c r="I8" s="39">
        <f t="shared" si="0"/>
        <v>83</v>
      </c>
      <c r="J8" s="69">
        <f t="shared" si="1"/>
        <v>232</v>
      </c>
      <c r="K8" s="183"/>
      <c r="L8" s="81">
        <f>basic!G7</f>
        <v>4</v>
      </c>
      <c r="M8" s="34">
        <f>basic!H7</f>
        <v>0.29791666666666666</v>
      </c>
      <c r="N8" s="35">
        <f>IF(basic!I7="","",VLOOKUP(basic!I7,男子名次,2,FALSE))</f>
        <v>7</v>
      </c>
      <c r="O8" s="36" t="str">
        <f t="shared" si="2"/>
        <v>Chung-Ting Liao 廖崇廷</v>
      </c>
      <c r="P8" s="37" t="str">
        <f t="shared" si="2"/>
        <v>ROC</v>
      </c>
      <c r="Q8" s="85">
        <f t="shared" si="2"/>
        <v>74</v>
      </c>
      <c r="R8" s="38">
        <f t="shared" si="2"/>
        <v>79</v>
      </c>
      <c r="S8" s="39">
        <f t="shared" si="2"/>
        <v>86</v>
      </c>
      <c r="T8" s="69">
        <f t="shared" si="3"/>
        <v>239</v>
      </c>
    </row>
    <row r="9" spans="1:20" x14ac:dyDescent="0.25">
      <c r="A9" s="178"/>
      <c r="B9" s="79"/>
      <c r="C9" s="18"/>
      <c r="D9" s="19">
        <f>IF(basic!F8="","",VLOOKUP(basic!F8,男子名次,2,FALSE))</f>
        <v>19</v>
      </c>
      <c r="E9" s="20" t="str">
        <f t="shared" si="0"/>
        <v>Yi-Tong Chen 陳裔東</v>
      </c>
      <c r="F9" s="21" t="str">
        <f t="shared" si="0"/>
        <v>ROC</v>
      </c>
      <c r="G9" s="83">
        <f t="shared" si="0"/>
        <v>82</v>
      </c>
      <c r="H9" s="22">
        <f t="shared" si="0"/>
        <v>73</v>
      </c>
      <c r="I9" s="23">
        <f t="shared" si="0"/>
        <v>78</v>
      </c>
      <c r="J9" s="61">
        <f t="shared" si="1"/>
        <v>233</v>
      </c>
      <c r="K9" s="183"/>
      <c r="L9" s="79"/>
      <c r="M9" s="18"/>
      <c r="N9" s="19">
        <f>IF(basic!I8="","",VLOOKUP(basic!I8,男子名次,2,FALSE))</f>
        <v>11</v>
      </c>
      <c r="O9" s="20" t="str">
        <f t="shared" si="2"/>
        <v>Steven Lam</v>
      </c>
      <c r="P9" s="21" t="str">
        <f t="shared" si="2"/>
        <v>HKG</v>
      </c>
      <c r="Q9" s="83">
        <f t="shared" si="2"/>
        <v>76</v>
      </c>
      <c r="R9" s="22">
        <f t="shared" si="2"/>
        <v>83</v>
      </c>
      <c r="S9" s="23">
        <f t="shared" si="2"/>
        <v>81</v>
      </c>
      <c r="T9" s="61">
        <f t="shared" si="3"/>
        <v>240</v>
      </c>
    </row>
    <row r="10" spans="1:20" x14ac:dyDescent="0.25">
      <c r="A10" s="178"/>
      <c r="B10" s="80"/>
      <c r="C10" s="26"/>
      <c r="D10" s="27">
        <f>IF(basic!F9="","",VLOOKUP(basic!F9,男子名次,2,FALSE))</f>
        <v>42</v>
      </c>
      <c r="E10" s="28" t="str">
        <f t="shared" si="0"/>
        <v>Yu-Cheng Ho 何祐誠</v>
      </c>
      <c r="F10" s="29" t="str">
        <f t="shared" si="0"/>
        <v>ROC</v>
      </c>
      <c r="G10" s="84">
        <f t="shared" si="0"/>
        <v>79</v>
      </c>
      <c r="H10" s="30">
        <f t="shared" si="0"/>
        <v>78</v>
      </c>
      <c r="I10" s="31">
        <f t="shared" si="0"/>
        <v>79</v>
      </c>
      <c r="J10" s="65">
        <f t="shared" si="1"/>
        <v>236</v>
      </c>
      <c r="K10" s="183"/>
      <c r="L10" s="80"/>
      <c r="M10" s="26"/>
      <c r="N10" s="27">
        <f>IF(basic!I9="","",VLOOKUP(basic!I9,男子名次,2,FALSE))</f>
        <v>50</v>
      </c>
      <c r="O10" s="28" t="str">
        <f t="shared" si="2"/>
        <v>Han-Wei Chiu 邱瀚緯</v>
      </c>
      <c r="P10" s="29" t="str">
        <f t="shared" si="2"/>
        <v>ROC</v>
      </c>
      <c r="Q10" s="84">
        <f t="shared" si="2"/>
        <v>73</v>
      </c>
      <c r="R10" s="30">
        <f t="shared" si="2"/>
        <v>85</v>
      </c>
      <c r="S10" s="31">
        <f t="shared" si="2"/>
        <v>82</v>
      </c>
      <c r="T10" s="65">
        <f t="shared" si="3"/>
        <v>240</v>
      </c>
    </row>
    <row r="11" spans="1:20" x14ac:dyDescent="0.25">
      <c r="A11" s="178"/>
      <c r="B11" s="81">
        <f>basic!D10</f>
        <v>5</v>
      </c>
      <c r="C11" s="34">
        <f>basic!E10</f>
        <v>0.30416666666666664</v>
      </c>
      <c r="D11" s="35">
        <f>IF(basic!F10="","",VLOOKUP(basic!F10,男子名次,2,FALSE))</f>
        <v>2</v>
      </c>
      <c r="E11" s="36" t="str">
        <f t="shared" si="0"/>
        <v>Terrence Ng</v>
      </c>
      <c r="F11" s="37" t="str">
        <f t="shared" si="0"/>
        <v>HKG</v>
      </c>
      <c r="G11" s="85">
        <f t="shared" si="0"/>
        <v>77</v>
      </c>
      <c r="H11" s="38">
        <f t="shared" si="0"/>
        <v>78</v>
      </c>
      <c r="I11" s="39">
        <f t="shared" si="0"/>
        <v>76</v>
      </c>
      <c r="J11" s="69">
        <f t="shared" si="1"/>
        <v>231</v>
      </c>
      <c r="K11" s="183"/>
      <c r="L11" s="81">
        <f>basic!G10</f>
        <v>6</v>
      </c>
      <c r="M11" s="34">
        <f>basic!H10</f>
        <v>0.30416666666666664</v>
      </c>
      <c r="N11" s="35">
        <f>IF(basic!I10="","",VLOOKUP(basic!I10,男子名次,2,FALSE))</f>
        <v>30</v>
      </c>
      <c r="O11" s="36" t="str">
        <f t="shared" si="2"/>
        <v>Yung-Hua Liu 劉永華</v>
      </c>
      <c r="P11" s="37" t="str">
        <f t="shared" si="2"/>
        <v>ROC</v>
      </c>
      <c r="Q11" s="85">
        <f t="shared" si="2"/>
        <v>79</v>
      </c>
      <c r="R11" s="38">
        <f t="shared" si="2"/>
        <v>78</v>
      </c>
      <c r="S11" s="39">
        <f t="shared" si="2"/>
        <v>81</v>
      </c>
      <c r="T11" s="69">
        <f t="shared" si="3"/>
        <v>238</v>
      </c>
    </row>
    <row r="12" spans="1:20" x14ac:dyDescent="0.25">
      <c r="A12" s="178"/>
      <c r="B12" s="79"/>
      <c r="C12" s="18"/>
      <c r="D12" s="19">
        <f>IF(basic!F11="","",VLOOKUP(basic!F11,男子名次,2,FALSE))</f>
        <v>13</v>
      </c>
      <c r="E12" s="20" t="str">
        <f t="shared" si="0"/>
        <v>Shun-Chen Chang 張勛宸</v>
      </c>
      <c r="F12" s="21" t="str">
        <f t="shared" si="0"/>
        <v>ROC</v>
      </c>
      <c r="G12" s="83">
        <f t="shared" si="0"/>
        <v>77</v>
      </c>
      <c r="H12" s="22">
        <f t="shared" si="0"/>
        <v>75</v>
      </c>
      <c r="I12" s="23">
        <f t="shared" si="0"/>
        <v>79</v>
      </c>
      <c r="J12" s="61">
        <f t="shared" si="1"/>
        <v>231</v>
      </c>
      <c r="K12" s="183"/>
      <c r="L12" s="79"/>
      <c r="M12" s="18"/>
      <c r="N12" s="19">
        <f>IF(basic!I11="","",VLOOKUP(basic!I11,男子名次,2,FALSE))</f>
        <v>29</v>
      </c>
      <c r="O12" s="20" t="str">
        <f t="shared" si="2"/>
        <v>Jan Philip de Claro</v>
      </c>
      <c r="P12" s="21" t="str">
        <f t="shared" si="2"/>
        <v>PHI</v>
      </c>
      <c r="Q12" s="83">
        <f t="shared" si="2"/>
        <v>81</v>
      </c>
      <c r="R12" s="22">
        <f t="shared" si="2"/>
        <v>76</v>
      </c>
      <c r="S12" s="23">
        <f t="shared" si="2"/>
        <v>82</v>
      </c>
      <c r="T12" s="61">
        <f t="shared" si="3"/>
        <v>239</v>
      </c>
    </row>
    <row r="13" spans="1:20" x14ac:dyDescent="0.25">
      <c r="A13" s="178"/>
      <c r="B13" s="80"/>
      <c r="C13" s="26"/>
      <c r="D13" s="19">
        <f>IF(basic!F12="","",VLOOKUP(basic!F12,男子名次,2,FALSE))</f>
        <v>39</v>
      </c>
      <c r="E13" s="20" t="str">
        <f t="shared" si="0"/>
        <v>Chan Tuck Soon</v>
      </c>
      <c r="F13" s="21" t="str">
        <f t="shared" si="0"/>
        <v>MAS</v>
      </c>
      <c r="G13" s="83">
        <f t="shared" si="0"/>
        <v>75</v>
      </c>
      <c r="H13" s="22">
        <f t="shared" si="0"/>
        <v>76</v>
      </c>
      <c r="I13" s="23">
        <f t="shared" si="0"/>
        <v>81</v>
      </c>
      <c r="J13" s="61">
        <f t="shared" si="1"/>
        <v>232</v>
      </c>
      <c r="K13" s="183"/>
      <c r="L13" s="80"/>
      <c r="M13" s="26"/>
      <c r="N13" s="19">
        <f>IF(basic!I12="","",VLOOKUP(basic!I12,男子名次,2,FALSE))</f>
        <v>33</v>
      </c>
      <c r="O13" s="20" t="str">
        <f t="shared" si="2"/>
        <v>Yun-Jui Liao 廖云瑞</v>
      </c>
      <c r="P13" s="21" t="str">
        <f t="shared" si="2"/>
        <v>ROC</v>
      </c>
      <c r="Q13" s="83">
        <f t="shared" si="2"/>
        <v>73</v>
      </c>
      <c r="R13" s="22">
        <f t="shared" si="2"/>
        <v>80</v>
      </c>
      <c r="S13" s="23">
        <f t="shared" si="2"/>
        <v>86</v>
      </c>
      <c r="T13" s="61">
        <f t="shared" si="3"/>
        <v>239</v>
      </c>
    </row>
    <row r="14" spans="1:20" ht="16.5" customHeight="1" x14ac:dyDescent="0.25">
      <c r="A14" s="178"/>
      <c r="B14" s="81">
        <f>basic!D13</f>
        <v>7</v>
      </c>
      <c r="C14" s="34">
        <f>basic!E13</f>
        <v>0.31041666666666662</v>
      </c>
      <c r="D14" s="35">
        <f>IF(basic!F13="","",VLOOKUP(basic!F13,男子名次,2,FALSE))</f>
        <v>36</v>
      </c>
      <c r="E14" s="36" t="str">
        <f t="shared" si="0"/>
        <v>Alvin Hiew</v>
      </c>
      <c r="F14" s="37" t="str">
        <f t="shared" si="0"/>
        <v>MAS</v>
      </c>
      <c r="G14" s="85">
        <f t="shared" si="0"/>
        <v>77</v>
      </c>
      <c r="H14" s="38">
        <f t="shared" si="0"/>
        <v>77</v>
      </c>
      <c r="I14" s="39">
        <f t="shared" si="0"/>
        <v>76</v>
      </c>
      <c r="J14" s="69">
        <f t="shared" ref="J14:J16" si="4">SUM(G14:I14)</f>
        <v>230</v>
      </c>
      <c r="K14" s="183" t="s">
        <v>48</v>
      </c>
      <c r="L14" s="81">
        <f>basic!G13</f>
        <v>8</v>
      </c>
      <c r="M14" s="34">
        <f>basic!H13</f>
        <v>0.31041666666666662</v>
      </c>
      <c r="N14" s="35">
        <f>IF(basic!I13="","",VLOOKUP(basic!I13,女子名次,2,FALSE))</f>
        <v>61</v>
      </c>
      <c r="O14" s="36" t="str">
        <f t="shared" si="2"/>
        <v>Yu-Ping Huang 黃郁評</v>
      </c>
      <c r="P14" s="37" t="str">
        <f t="shared" si="2"/>
        <v>ROC</v>
      </c>
      <c r="Q14" s="85">
        <f t="shared" si="2"/>
        <v>78</v>
      </c>
      <c r="R14" s="38">
        <f t="shared" si="2"/>
        <v>82</v>
      </c>
      <c r="S14" s="39">
        <f t="shared" si="2"/>
        <v>81</v>
      </c>
      <c r="T14" s="69">
        <f t="shared" si="3"/>
        <v>241</v>
      </c>
    </row>
    <row r="15" spans="1:20" x14ac:dyDescent="0.25">
      <c r="A15" s="178"/>
      <c r="B15" s="79"/>
      <c r="C15" s="18"/>
      <c r="D15" s="19">
        <f>IF(basic!F14="","",VLOOKUP(basic!F14,男子名次,2,FALSE))</f>
        <v>55</v>
      </c>
      <c r="E15" s="20" t="str">
        <f t="shared" ref="E15:I24" si="5">IF($D15="","",VLOOKUP($D15,名單,COLUMN()-3,FALSE))</f>
        <v>Ting-Chia Chang 張庭嘉</v>
      </c>
      <c r="F15" s="21" t="str">
        <f t="shared" si="5"/>
        <v>ROC</v>
      </c>
      <c r="G15" s="83">
        <f t="shared" si="5"/>
        <v>75</v>
      </c>
      <c r="H15" s="22">
        <f t="shared" si="5"/>
        <v>78</v>
      </c>
      <c r="I15" s="23">
        <f t="shared" si="5"/>
        <v>77</v>
      </c>
      <c r="J15" s="61">
        <f t="shared" si="4"/>
        <v>230</v>
      </c>
      <c r="K15" s="183"/>
      <c r="L15" s="79"/>
      <c r="M15" s="18"/>
      <c r="N15" s="19">
        <f>IF(basic!I14="","",VLOOKUP(basic!I14,女子名次,2,FALSE))</f>
        <v>75</v>
      </c>
      <c r="O15" s="20" t="str">
        <f t="shared" ref="O15:S28" si="6">IF($N15="","",VLOOKUP($N15,名單,COLUMN()-13,FALSE))</f>
        <v>Winnie Ng Yu Xuan</v>
      </c>
      <c r="P15" s="21" t="str">
        <f t="shared" si="6"/>
        <v>MAS</v>
      </c>
      <c r="Q15" s="83">
        <f t="shared" si="6"/>
        <v>84</v>
      </c>
      <c r="R15" s="22">
        <f t="shared" si="6"/>
        <v>78</v>
      </c>
      <c r="S15" s="23">
        <f t="shared" si="6"/>
        <v>81</v>
      </c>
      <c r="T15" s="61">
        <f t="shared" si="3"/>
        <v>243</v>
      </c>
    </row>
    <row r="16" spans="1:20" x14ac:dyDescent="0.25">
      <c r="A16" s="178"/>
      <c r="B16" s="80"/>
      <c r="C16" s="26"/>
      <c r="D16" s="27">
        <f>IF(basic!F15="","",VLOOKUP(basic!F15,男子名次,2,FALSE))</f>
        <v>41</v>
      </c>
      <c r="E16" s="28" t="str">
        <f t="shared" si="5"/>
        <v>Zi-Jun Huang 黃子鈞</v>
      </c>
      <c r="F16" s="29" t="str">
        <f t="shared" si="5"/>
        <v>ROC</v>
      </c>
      <c r="G16" s="84">
        <f t="shared" si="5"/>
        <v>81</v>
      </c>
      <c r="H16" s="30">
        <f t="shared" si="5"/>
        <v>74</v>
      </c>
      <c r="I16" s="31">
        <f t="shared" si="5"/>
        <v>76</v>
      </c>
      <c r="J16" s="65">
        <f t="shared" si="4"/>
        <v>231</v>
      </c>
      <c r="K16" s="183"/>
      <c r="L16" s="80"/>
      <c r="M16" s="26"/>
      <c r="N16" s="27">
        <f>IF(basic!I15="","",VLOOKUP(basic!I15,女子名次,2,FALSE))</f>
        <v>58</v>
      </c>
      <c r="O16" s="28" t="str">
        <f t="shared" si="6"/>
        <v>Hsiao-Han Huang 黃筱涵</v>
      </c>
      <c r="P16" s="29" t="str">
        <f t="shared" si="6"/>
        <v>ROC</v>
      </c>
      <c r="Q16" s="84">
        <f t="shared" si="6"/>
        <v>80</v>
      </c>
      <c r="R16" s="30">
        <f t="shared" si="6"/>
        <v>82</v>
      </c>
      <c r="S16" s="31">
        <f t="shared" si="6"/>
        <v>88</v>
      </c>
      <c r="T16" s="65">
        <f t="shared" si="3"/>
        <v>250</v>
      </c>
    </row>
    <row r="17" spans="1:20" ht="16.5" customHeight="1" x14ac:dyDescent="0.25">
      <c r="A17" s="178"/>
      <c r="B17" s="81">
        <f>basic!D16</f>
        <v>9</v>
      </c>
      <c r="C17" s="34">
        <f>basic!E16</f>
        <v>0.3166666666666666</v>
      </c>
      <c r="D17" s="35">
        <f>IF(basic!F16="","",VLOOKUP(basic!F16,男子名次,2,FALSE))</f>
        <v>43</v>
      </c>
      <c r="E17" s="36" t="str">
        <f t="shared" si="5"/>
        <v>Chung-Chieh Yang 楊浚頡</v>
      </c>
      <c r="F17" s="37" t="str">
        <f t="shared" si="5"/>
        <v>ROC</v>
      </c>
      <c r="G17" s="85">
        <f t="shared" si="5"/>
        <v>70</v>
      </c>
      <c r="H17" s="38">
        <f t="shared" si="5"/>
        <v>80</v>
      </c>
      <c r="I17" s="39">
        <f t="shared" si="5"/>
        <v>78</v>
      </c>
      <c r="J17" s="69">
        <f t="shared" si="1"/>
        <v>228</v>
      </c>
      <c r="K17" s="183"/>
      <c r="L17" s="81">
        <f>basic!G16</f>
        <v>10</v>
      </c>
      <c r="M17" s="34">
        <f>basic!H16</f>
        <v>0.3166666666666666</v>
      </c>
      <c r="N17" s="35">
        <f>IF(basic!I16="","",VLOOKUP(basic!I16,女子名次,2,FALSE))</f>
        <v>70</v>
      </c>
      <c r="O17" s="36" t="str">
        <f t="shared" si="6"/>
        <v>Isabella Leung</v>
      </c>
      <c r="P17" s="37" t="str">
        <f t="shared" si="6"/>
        <v>HKG</v>
      </c>
      <c r="Q17" s="85">
        <f t="shared" si="6"/>
        <v>80</v>
      </c>
      <c r="R17" s="38">
        <f t="shared" si="6"/>
        <v>76</v>
      </c>
      <c r="S17" s="39">
        <f t="shared" si="6"/>
        <v>79</v>
      </c>
      <c r="T17" s="69">
        <f t="shared" si="3"/>
        <v>235</v>
      </c>
    </row>
    <row r="18" spans="1:20" x14ac:dyDescent="0.25">
      <c r="A18" s="178"/>
      <c r="B18" s="79"/>
      <c r="C18" s="18"/>
      <c r="D18" s="19">
        <f>IF(basic!F17="","",VLOOKUP(basic!F17,男子名次,2,FALSE))</f>
        <v>15</v>
      </c>
      <c r="E18" s="20" t="str">
        <f t="shared" si="5"/>
        <v>Yu-Chen Chen 陳宥蓁</v>
      </c>
      <c r="F18" s="21" t="str">
        <f t="shared" si="5"/>
        <v>ROC</v>
      </c>
      <c r="G18" s="83">
        <f t="shared" si="5"/>
        <v>80</v>
      </c>
      <c r="H18" s="22">
        <f t="shared" si="5"/>
        <v>74</v>
      </c>
      <c r="I18" s="23">
        <f t="shared" si="5"/>
        <v>75</v>
      </c>
      <c r="J18" s="61">
        <f t="shared" si="1"/>
        <v>229</v>
      </c>
      <c r="K18" s="183"/>
      <c r="L18" s="79"/>
      <c r="M18" s="18"/>
      <c r="N18" s="19">
        <f>IF(basic!I17="","",VLOOKUP(basic!I17,女子名次,2,FALSE))</f>
        <v>62</v>
      </c>
      <c r="O18" s="20" t="str">
        <f t="shared" si="6"/>
        <v xml:space="preserve">Song Yi Lin </v>
      </c>
      <c r="P18" s="21" t="str">
        <f t="shared" si="6"/>
        <v>CHN</v>
      </c>
      <c r="Q18" s="83">
        <f t="shared" si="6"/>
        <v>78</v>
      </c>
      <c r="R18" s="22">
        <f t="shared" si="6"/>
        <v>80</v>
      </c>
      <c r="S18" s="23">
        <f t="shared" si="6"/>
        <v>78</v>
      </c>
      <c r="T18" s="61">
        <f t="shared" si="3"/>
        <v>236</v>
      </c>
    </row>
    <row r="19" spans="1:20" x14ac:dyDescent="0.25">
      <c r="A19" s="178"/>
      <c r="B19" s="80"/>
      <c r="C19" s="26"/>
      <c r="D19" s="27">
        <f>IF(basic!F18="","",VLOOKUP(basic!F18,男子名次,2,FALSE))</f>
        <v>6</v>
      </c>
      <c r="E19" s="28" t="str">
        <f t="shared" si="5"/>
        <v>Wei-Fan Liu 劉威汎</v>
      </c>
      <c r="F19" s="29" t="str">
        <f t="shared" si="5"/>
        <v>ROC</v>
      </c>
      <c r="G19" s="84">
        <f t="shared" si="5"/>
        <v>78</v>
      </c>
      <c r="H19" s="30">
        <f t="shared" si="5"/>
        <v>80</v>
      </c>
      <c r="I19" s="31">
        <f t="shared" si="5"/>
        <v>72</v>
      </c>
      <c r="J19" s="65">
        <f t="shared" si="1"/>
        <v>230</v>
      </c>
      <c r="K19" s="183"/>
      <c r="L19" s="80"/>
      <c r="M19" s="26"/>
      <c r="N19" s="27">
        <f>IF(basic!I18="","",VLOOKUP(basic!I18,女子名次,2,FALSE))</f>
        <v>67</v>
      </c>
      <c r="O19" s="28" t="str">
        <f t="shared" si="6"/>
        <v>Mimi Ho</v>
      </c>
      <c r="P19" s="29" t="str">
        <f t="shared" si="6"/>
        <v>HKG</v>
      </c>
      <c r="Q19" s="84">
        <f t="shared" si="6"/>
        <v>74</v>
      </c>
      <c r="R19" s="30">
        <f t="shared" si="6"/>
        <v>78</v>
      </c>
      <c r="S19" s="31">
        <f t="shared" si="6"/>
        <v>86</v>
      </c>
      <c r="T19" s="65">
        <f t="shared" si="3"/>
        <v>238</v>
      </c>
    </row>
    <row r="20" spans="1:20" x14ac:dyDescent="0.25">
      <c r="A20" s="178"/>
      <c r="B20" s="81">
        <f>basic!D19</f>
        <v>11</v>
      </c>
      <c r="C20" s="34">
        <f>basic!E19</f>
        <v>0.32291666666666657</v>
      </c>
      <c r="D20" s="35">
        <f>IF(basic!F19="","",VLOOKUP(basic!F19,男子名次,2,FALSE))</f>
        <v>25</v>
      </c>
      <c r="E20" s="36" t="str">
        <f t="shared" si="5"/>
        <v>Matthew Cheung</v>
      </c>
      <c r="F20" s="37" t="str">
        <f t="shared" si="5"/>
        <v>HKG</v>
      </c>
      <c r="G20" s="85">
        <f t="shared" si="5"/>
        <v>73</v>
      </c>
      <c r="H20" s="38">
        <f t="shared" si="5"/>
        <v>71</v>
      </c>
      <c r="I20" s="39">
        <f t="shared" si="5"/>
        <v>79</v>
      </c>
      <c r="J20" s="69">
        <f t="shared" si="1"/>
        <v>223</v>
      </c>
      <c r="K20" s="183"/>
      <c r="L20" s="81">
        <f>basic!G19</f>
        <v>12</v>
      </c>
      <c r="M20" s="34">
        <f>basic!H19</f>
        <v>0.32291666666666657</v>
      </c>
      <c r="N20" s="35">
        <f>IF(basic!I19="","",VLOOKUP(basic!I19,女子名次,2,FALSE))</f>
        <v>63</v>
      </c>
      <c r="O20" s="36" t="str">
        <f t="shared" si="6"/>
        <v>Kuan-Yu Lin 林冠妤</v>
      </c>
      <c r="P20" s="37" t="str">
        <f t="shared" si="6"/>
        <v>ROC</v>
      </c>
      <c r="Q20" s="85">
        <f t="shared" si="6"/>
        <v>76</v>
      </c>
      <c r="R20" s="38">
        <f t="shared" si="6"/>
        <v>76</v>
      </c>
      <c r="S20" s="39">
        <f t="shared" si="6"/>
        <v>77</v>
      </c>
      <c r="T20" s="69">
        <f t="shared" si="3"/>
        <v>229</v>
      </c>
    </row>
    <row r="21" spans="1:20" x14ac:dyDescent="0.25">
      <c r="A21" s="178"/>
      <c r="B21" s="79"/>
      <c r="C21" s="18"/>
      <c r="D21" s="19">
        <f>IF(basic!F20="","",VLOOKUP(basic!F20,男子名次,2,FALSE))</f>
        <v>35</v>
      </c>
      <c r="E21" s="20" t="str">
        <f t="shared" si="5"/>
        <v>Sun-Yi Lu 呂孫儀</v>
      </c>
      <c r="F21" s="21" t="str">
        <f t="shared" si="5"/>
        <v>ROC</v>
      </c>
      <c r="G21" s="83">
        <f t="shared" si="5"/>
        <v>71</v>
      </c>
      <c r="H21" s="22">
        <f t="shared" si="5"/>
        <v>71</v>
      </c>
      <c r="I21" s="23">
        <f t="shared" si="5"/>
        <v>82</v>
      </c>
      <c r="J21" s="61">
        <f t="shared" si="1"/>
        <v>224</v>
      </c>
      <c r="K21" s="183"/>
      <c r="L21" s="79"/>
      <c r="M21" s="18"/>
      <c r="N21" s="19">
        <f>IF(basic!I20="","",VLOOKUP(basic!I20,女子名次,2,FALSE))</f>
        <v>60</v>
      </c>
      <c r="O21" s="20" t="str">
        <f t="shared" si="6"/>
        <v>Ching-Tzu Chen 陳靜慈</v>
      </c>
      <c r="P21" s="21" t="str">
        <f t="shared" si="6"/>
        <v>ROC</v>
      </c>
      <c r="Q21" s="83">
        <f t="shared" si="6"/>
        <v>73</v>
      </c>
      <c r="R21" s="22">
        <f t="shared" si="6"/>
        <v>76</v>
      </c>
      <c r="S21" s="23">
        <f t="shared" si="6"/>
        <v>80</v>
      </c>
      <c r="T21" s="61">
        <f t="shared" si="3"/>
        <v>229</v>
      </c>
    </row>
    <row r="22" spans="1:20" x14ac:dyDescent="0.25">
      <c r="A22" s="178"/>
      <c r="B22" s="80"/>
      <c r="C22" s="26"/>
      <c r="D22" s="27">
        <f>IF(basic!F21="","",VLOOKUP(basic!F21,男子名次,2,FALSE))</f>
        <v>16</v>
      </c>
      <c r="E22" s="28" t="str">
        <f t="shared" si="5"/>
        <v>Wei-Cheng Shen 沈威成</v>
      </c>
      <c r="F22" s="29" t="str">
        <f t="shared" si="5"/>
        <v>ROC</v>
      </c>
      <c r="G22" s="84">
        <f t="shared" si="5"/>
        <v>75</v>
      </c>
      <c r="H22" s="30">
        <f t="shared" si="5"/>
        <v>74</v>
      </c>
      <c r="I22" s="31">
        <f t="shared" si="5"/>
        <v>76</v>
      </c>
      <c r="J22" s="65">
        <f t="shared" si="1"/>
        <v>225</v>
      </c>
      <c r="K22" s="183"/>
      <c r="L22" s="80"/>
      <c r="M22" s="26"/>
      <c r="N22" s="27">
        <f>IF(basic!I21="","",VLOOKUP(basic!I21,女子名次,2,FALSE))</f>
        <v>78</v>
      </c>
      <c r="O22" s="28" t="str">
        <f t="shared" si="6"/>
        <v>Ashley Lau Jen Wen</v>
      </c>
      <c r="P22" s="29" t="str">
        <f t="shared" si="6"/>
        <v>MAS</v>
      </c>
      <c r="Q22" s="84">
        <f t="shared" si="6"/>
        <v>81</v>
      </c>
      <c r="R22" s="30">
        <f t="shared" si="6"/>
        <v>75</v>
      </c>
      <c r="S22" s="31">
        <f t="shared" si="6"/>
        <v>77</v>
      </c>
      <c r="T22" s="65">
        <f t="shared" si="3"/>
        <v>233</v>
      </c>
    </row>
    <row r="23" spans="1:20" x14ac:dyDescent="0.25">
      <c r="A23" s="178"/>
      <c r="B23" s="81">
        <f>basic!D22</f>
        <v>13</v>
      </c>
      <c r="C23" s="34">
        <f>basic!E22</f>
        <v>0.32916666666666655</v>
      </c>
      <c r="D23" s="35">
        <f>IF(basic!F22="","",VLOOKUP(basic!F22,男子名次,2,FALSE))</f>
        <v>23</v>
      </c>
      <c r="E23" s="36" t="str">
        <f t="shared" si="5"/>
        <v xml:space="preserve">Aman Raj </v>
      </c>
      <c r="F23" s="37" t="str">
        <f t="shared" si="5"/>
        <v>IND</v>
      </c>
      <c r="G23" s="85">
        <f t="shared" si="5"/>
        <v>72</v>
      </c>
      <c r="H23" s="38">
        <f t="shared" si="5"/>
        <v>71</v>
      </c>
      <c r="I23" s="39">
        <f t="shared" si="5"/>
        <v>76</v>
      </c>
      <c r="J23" s="69">
        <f t="shared" si="1"/>
        <v>219</v>
      </c>
      <c r="K23" s="183"/>
      <c r="L23" s="81">
        <f>basic!G22</f>
        <v>14</v>
      </c>
      <c r="M23" s="34">
        <f>basic!H22</f>
        <v>0.32916666666666655</v>
      </c>
      <c r="N23" s="35">
        <f>IF(basic!I22="","",VLOOKUP(basic!I22,女子名次,2,FALSE))</f>
        <v>76</v>
      </c>
      <c r="O23" s="36" t="str">
        <f t="shared" si="6"/>
        <v>Suthavee Chanachai</v>
      </c>
      <c r="P23" s="37" t="str">
        <f t="shared" si="6"/>
        <v>THA</v>
      </c>
      <c r="Q23" s="85">
        <f t="shared" si="6"/>
        <v>76</v>
      </c>
      <c r="R23" s="38">
        <f t="shared" si="6"/>
        <v>75</v>
      </c>
      <c r="S23" s="39">
        <f t="shared" si="6"/>
        <v>71</v>
      </c>
      <c r="T23" s="69">
        <f t="shared" si="3"/>
        <v>222</v>
      </c>
    </row>
    <row r="24" spans="1:20" x14ac:dyDescent="0.25">
      <c r="A24" s="178"/>
      <c r="B24" s="79"/>
      <c r="C24" s="18"/>
      <c r="D24" s="19">
        <f>IF(basic!F23="","",VLOOKUP(basic!F23,男子名次,2,FALSE))</f>
        <v>51</v>
      </c>
      <c r="E24" s="20" t="str">
        <f t="shared" si="5"/>
        <v>Che-Hung Tsai 蔡哲弘</v>
      </c>
      <c r="F24" s="21" t="str">
        <f t="shared" si="5"/>
        <v>ROC</v>
      </c>
      <c r="G24" s="83">
        <f t="shared" si="5"/>
        <v>74</v>
      </c>
      <c r="H24" s="22">
        <f t="shared" si="5"/>
        <v>69</v>
      </c>
      <c r="I24" s="23">
        <f t="shared" si="5"/>
        <v>78</v>
      </c>
      <c r="J24" s="61">
        <f t="shared" si="1"/>
        <v>221</v>
      </c>
      <c r="K24" s="183"/>
      <c r="L24" s="79"/>
      <c r="M24" s="18"/>
      <c r="N24" s="19">
        <f>IF(basic!I23="","",VLOOKUP(basic!I23,女子名次,2,FALSE))</f>
        <v>64</v>
      </c>
      <c r="O24" s="20" t="str">
        <f t="shared" si="6"/>
        <v>Hsin-En Tsai 蔡欣恩</v>
      </c>
      <c r="P24" s="21" t="str">
        <f t="shared" si="6"/>
        <v>ROC</v>
      </c>
      <c r="Q24" s="83">
        <f t="shared" si="6"/>
        <v>75</v>
      </c>
      <c r="R24" s="22">
        <f t="shared" si="6"/>
        <v>75</v>
      </c>
      <c r="S24" s="23">
        <f t="shared" si="6"/>
        <v>73</v>
      </c>
      <c r="T24" s="61">
        <f t="shared" si="3"/>
        <v>223</v>
      </c>
    </row>
    <row r="25" spans="1:20" x14ac:dyDescent="0.25">
      <c r="A25" s="178"/>
      <c r="B25" s="80"/>
      <c r="C25" s="26"/>
      <c r="D25" s="27">
        <f>IF(basic!F24="","",VLOOKUP(basic!F24,男子名次,2,FALSE))</f>
        <v>38</v>
      </c>
      <c r="E25" s="28" t="str">
        <f t="shared" ref="E25:I31" si="7">IF($D25="","",VLOOKUP($D25,名單,COLUMN()-3,FALSE))</f>
        <v>Han-Ting Chiu 邱瀚霆</v>
      </c>
      <c r="F25" s="29" t="str">
        <f t="shared" si="7"/>
        <v>ROC</v>
      </c>
      <c r="G25" s="84">
        <f t="shared" si="7"/>
        <v>72</v>
      </c>
      <c r="H25" s="30">
        <f t="shared" si="7"/>
        <v>69</v>
      </c>
      <c r="I25" s="31">
        <f t="shared" si="7"/>
        <v>81</v>
      </c>
      <c r="J25" s="65">
        <f t="shared" si="1"/>
        <v>222</v>
      </c>
      <c r="K25" s="183"/>
      <c r="L25" s="80"/>
      <c r="M25" s="26"/>
      <c r="N25" s="27">
        <f>IF(basic!I24="","",VLOOKUP(basic!I24,女子名次,2,FALSE))</f>
        <v>66</v>
      </c>
      <c r="O25" s="28" t="str">
        <f t="shared" si="6"/>
        <v>Yi-Han Wang 王薏涵</v>
      </c>
      <c r="P25" s="29" t="str">
        <f t="shared" si="6"/>
        <v>ROC</v>
      </c>
      <c r="Q25" s="84">
        <f t="shared" si="6"/>
        <v>75</v>
      </c>
      <c r="R25" s="30">
        <f t="shared" si="6"/>
        <v>75</v>
      </c>
      <c r="S25" s="31">
        <f t="shared" si="6"/>
        <v>75</v>
      </c>
      <c r="T25" s="65">
        <f t="shared" si="3"/>
        <v>225</v>
      </c>
    </row>
    <row r="26" spans="1:20" x14ac:dyDescent="0.25">
      <c r="A26" s="178"/>
      <c r="B26" s="81">
        <f>basic!D25</f>
        <v>15</v>
      </c>
      <c r="C26" s="34">
        <f>basic!E25</f>
        <v>0.33541666666666653</v>
      </c>
      <c r="D26" s="35">
        <f>IF(basic!F25="","",VLOOKUP(basic!F25,男子名次,2,FALSE))</f>
        <v>34</v>
      </c>
      <c r="E26" s="36" t="str">
        <f t="shared" si="7"/>
        <v>Sangchai Kaewcharoen</v>
      </c>
      <c r="F26" s="37" t="str">
        <f t="shared" si="7"/>
        <v>THA</v>
      </c>
      <c r="G26" s="85">
        <f t="shared" si="7"/>
        <v>75</v>
      </c>
      <c r="H26" s="38">
        <f t="shared" si="7"/>
        <v>66</v>
      </c>
      <c r="I26" s="39">
        <f t="shared" si="7"/>
        <v>75</v>
      </c>
      <c r="J26" s="69">
        <f t="shared" si="1"/>
        <v>216</v>
      </c>
      <c r="K26" s="183"/>
      <c r="L26" s="81">
        <f>basic!G25</f>
        <v>16</v>
      </c>
      <c r="M26" s="34">
        <f>basic!H25</f>
        <v>0.33541666666666653</v>
      </c>
      <c r="N26" s="35">
        <f>IF(basic!I25="","",VLOOKUP(basic!I25,女子名次,2,FALSE))</f>
        <v>74</v>
      </c>
      <c r="O26" s="36" t="str">
        <f t="shared" si="6"/>
        <v>Jo-Hua Hung 洪若華</v>
      </c>
      <c r="P26" s="37" t="str">
        <f t="shared" si="6"/>
        <v>ROC</v>
      </c>
      <c r="Q26" s="85">
        <f t="shared" si="6"/>
        <v>72</v>
      </c>
      <c r="R26" s="38">
        <f t="shared" si="6"/>
        <v>70</v>
      </c>
      <c r="S26" s="39">
        <f t="shared" si="6"/>
        <v>71</v>
      </c>
      <c r="T26" s="69">
        <f t="shared" si="3"/>
        <v>213</v>
      </c>
    </row>
    <row r="27" spans="1:20" x14ac:dyDescent="0.25">
      <c r="A27" s="178"/>
      <c r="B27" s="79"/>
      <c r="C27" s="18"/>
      <c r="D27" s="19">
        <f>IF(basic!F26="","",VLOOKUP(basic!F26,男子名次,2,FALSE))</f>
        <v>31</v>
      </c>
      <c r="E27" s="20" t="str">
        <f t="shared" si="7"/>
        <v>Gregory Foo</v>
      </c>
      <c r="F27" s="21" t="str">
        <f t="shared" si="7"/>
        <v>SIN</v>
      </c>
      <c r="G27" s="83">
        <f t="shared" si="7"/>
        <v>78</v>
      </c>
      <c r="H27" s="22">
        <f t="shared" si="7"/>
        <v>69</v>
      </c>
      <c r="I27" s="23">
        <f t="shared" si="7"/>
        <v>70</v>
      </c>
      <c r="J27" s="61">
        <f t="shared" si="1"/>
        <v>217</v>
      </c>
      <c r="K27" s="183"/>
      <c r="L27" s="79"/>
      <c r="M27" s="18"/>
      <c r="N27" s="19">
        <f>IF(basic!I26="","",VLOOKUP(basic!I26,女子名次,2,FALSE))</f>
        <v>77</v>
      </c>
      <c r="O27" s="20" t="str">
        <f t="shared" si="6"/>
        <v>Jie-En Lin  林婕恩</v>
      </c>
      <c r="P27" s="21" t="str">
        <f t="shared" si="6"/>
        <v>ROC</v>
      </c>
      <c r="Q27" s="83">
        <f t="shared" si="6"/>
        <v>72</v>
      </c>
      <c r="R27" s="22">
        <f t="shared" si="6"/>
        <v>70</v>
      </c>
      <c r="S27" s="23">
        <f t="shared" si="6"/>
        <v>75</v>
      </c>
      <c r="T27" s="61">
        <f t="shared" si="3"/>
        <v>217</v>
      </c>
    </row>
    <row r="28" spans="1:20" x14ac:dyDescent="0.25">
      <c r="A28" s="178"/>
      <c r="B28" s="80"/>
      <c r="C28" s="26"/>
      <c r="D28" s="19">
        <f>IF(basic!F27="","",VLOOKUP(basic!F27,男子名次,2,FALSE))</f>
        <v>28</v>
      </c>
      <c r="E28" s="20" t="str">
        <f t="shared" si="7"/>
        <v>Marc Ong</v>
      </c>
      <c r="F28" s="21" t="str">
        <f t="shared" si="7"/>
        <v>SIN</v>
      </c>
      <c r="G28" s="83">
        <f t="shared" si="7"/>
        <v>72</v>
      </c>
      <c r="H28" s="22">
        <f t="shared" si="7"/>
        <v>74</v>
      </c>
      <c r="I28" s="23">
        <f t="shared" si="7"/>
        <v>73</v>
      </c>
      <c r="J28" s="61">
        <f t="shared" si="1"/>
        <v>219</v>
      </c>
      <c r="K28" s="183"/>
      <c r="L28" s="80"/>
      <c r="M28" s="26"/>
      <c r="N28" s="19">
        <f>IF(basic!I27="","",VLOOKUP(basic!I27,女子名次,2,FALSE))</f>
        <v>73</v>
      </c>
      <c r="O28" s="20" t="str">
        <f t="shared" si="6"/>
        <v>Pimnipa Panthong</v>
      </c>
      <c r="P28" s="21" t="str">
        <f t="shared" si="6"/>
        <v>THA</v>
      </c>
      <c r="Q28" s="83">
        <f t="shared" si="6"/>
        <v>75</v>
      </c>
      <c r="R28" s="22">
        <f t="shared" si="6"/>
        <v>70</v>
      </c>
      <c r="S28" s="23">
        <f t="shared" si="6"/>
        <v>74</v>
      </c>
      <c r="T28" s="61">
        <f t="shared" si="3"/>
        <v>219</v>
      </c>
    </row>
    <row r="29" spans="1:20" x14ac:dyDescent="0.25">
      <c r="A29" s="178"/>
      <c r="B29" s="81">
        <f>basic!D28</f>
        <v>17</v>
      </c>
      <c r="C29" s="34">
        <f>basic!E28</f>
        <v>0.34166666666666651</v>
      </c>
      <c r="D29" s="35">
        <f>IF(basic!F28="","",VLOOKUP(basic!F28,男子名次,2,FALSE))</f>
        <v>26</v>
      </c>
      <c r="E29" s="36" t="str">
        <f t="shared" si="7"/>
        <v>Viraaj Madappa</v>
      </c>
      <c r="F29" s="37" t="str">
        <f t="shared" si="7"/>
        <v>IND</v>
      </c>
      <c r="G29" s="85">
        <f t="shared" si="7"/>
        <v>70</v>
      </c>
      <c r="H29" s="38">
        <f t="shared" si="7"/>
        <v>72</v>
      </c>
      <c r="I29" s="39">
        <f t="shared" si="7"/>
        <v>69</v>
      </c>
      <c r="J29" s="69">
        <f t="shared" si="1"/>
        <v>211</v>
      </c>
      <c r="K29" s="183"/>
      <c r="L29" s="81">
        <f>basic!G28</f>
        <v>0</v>
      </c>
      <c r="M29" s="34"/>
      <c r="N29" s="35" t="str">
        <f>IF(basic!I28="","",VLOOKUP(basic!I28,男子名次,2,FALSE))</f>
        <v/>
      </c>
      <c r="O29" s="36" t="str">
        <f t="shared" ref="O29:S31" si="8">IF($N29="","",VLOOKUP($N29,名單,COLUMN()-13,FALSE))</f>
        <v/>
      </c>
      <c r="P29" s="37" t="str">
        <f t="shared" si="8"/>
        <v/>
      </c>
      <c r="Q29" s="85" t="str">
        <f t="shared" si="8"/>
        <v/>
      </c>
      <c r="R29" s="38" t="str">
        <f t="shared" si="8"/>
        <v/>
      </c>
      <c r="S29" s="39" t="str">
        <f t="shared" si="8"/>
        <v/>
      </c>
      <c r="T29" s="69">
        <f t="shared" si="3"/>
        <v>0</v>
      </c>
    </row>
    <row r="30" spans="1:20" x14ac:dyDescent="0.25">
      <c r="A30" s="178"/>
      <c r="B30" s="79"/>
      <c r="C30" s="18"/>
      <c r="D30" s="19">
        <f>IF(basic!F29="","",VLOOKUP(basic!F29,男子名次,2,FALSE))</f>
        <v>37</v>
      </c>
      <c r="E30" s="20" t="str">
        <f t="shared" si="7"/>
        <v>Sadom Kaewkanjana</v>
      </c>
      <c r="F30" s="21" t="str">
        <f t="shared" si="7"/>
        <v>THA</v>
      </c>
      <c r="G30" s="83">
        <f t="shared" si="7"/>
        <v>70</v>
      </c>
      <c r="H30" s="22">
        <f t="shared" si="7"/>
        <v>70</v>
      </c>
      <c r="I30" s="23">
        <f t="shared" si="7"/>
        <v>71</v>
      </c>
      <c r="J30" s="61">
        <f t="shared" si="1"/>
        <v>211</v>
      </c>
      <c r="K30" s="183"/>
      <c r="L30" s="79"/>
      <c r="M30" s="18"/>
      <c r="N30" s="19" t="str">
        <f>IF(basic!I29="","",VLOOKUP(basic!I29,男子名次,2,FALSE))</f>
        <v/>
      </c>
      <c r="O30" s="20" t="str">
        <f t="shared" si="8"/>
        <v/>
      </c>
      <c r="P30" s="21" t="str">
        <f t="shared" si="8"/>
        <v/>
      </c>
      <c r="Q30" s="83" t="str">
        <f t="shared" si="8"/>
        <v/>
      </c>
      <c r="R30" s="22" t="str">
        <f t="shared" si="8"/>
        <v/>
      </c>
      <c r="S30" s="23" t="str">
        <f t="shared" si="8"/>
        <v/>
      </c>
      <c r="T30" s="61">
        <f t="shared" si="3"/>
        <v>0</v>
      </c>
    </row>
    <row r="31" spans="1:20" x14ac:dyDescent="0.25">
      <c r="A31" s="178"/>
      <c r="B31" s="80"/>
      <c r="C31" s="26"/>
      <c r="D31" s="27">
        <f>IF(basic!F30="","",VLOOKUP(basic!F30,男子名次,2,FALSE))</f>
        <v>32</v>
      </c>
      <c r="E31" s="28" t="str">
        <f t="shared" si="7"/>
        <v>Lloyd Jefferson Go</v>
      </c>
      <c r="F31" s="29" t="str">
        <f t="shared" si="7"/>
        <v>PHI</v>
      </c>
      <c r="G31" s="84">
        <f t="shared" si="7"/>
        <v>71</v>
      </c>
      <c r="H31" s="30">
        <f t="shared" si="7"/>
        <v>72</v>
      </c>
      <c r="I31" s="31">
        <f t="shared" si="7"/>
        <v>73</v>
      </c>
      <c r="J31" s="65">
        <f t="shared" si="1"/>
        <v>216</v>
      </c>
      <c r="K31" s="177"/>
      <c r="L31" s="80"/>
      <c r="M31" s="26"/>
      <c r="N31" s="27" t="str">
        <f>IF(basic!I30="","",VLOOKUP(basic!I30,男子名次,2,FALSE))</f>
        <v/>
      </c>
      <c r="O31" s="28" t="str">
        <f t="shared" si="8"/>
        <v/>
      </c>
      <c r="P31" s="29" t="str">
        <f t="shared" si="8"/>
        <v/>
      </c>
      <c r="Q31" s="84" t="str">
        <f t="shared" si="8"/>
        <v/>
      </c>
      <c r="R31" s="30" t="str">
        <f t="shared" si="8"/>
        <v/>
      </c>
      <c r="S31" s="31" t="str">
        <f t="shared" si="8"/>
        <v/>
      </c>
      <c r="T31" s="65">
        <f t="shared" si="3"/>
        <v>0</v>
      </c>
    </row>
    <row r="32" spans="1:20" x14ac:dyDescent="0.25">
      <c r="A32" s="178"/>
      <c r="B32" s="81" t="str">
        <f>basic!D31</f>
        <v/>
      </c>
      <c r="C32" s="34" t="str">
        <f>basic!E31</f>
        <v/>
      </c>
      <c r="D32" s="35" t="str">
        <f>IF(basic!F31="","",VLOOKUP(basic!F31,女子名次,2,FALSE))</f>
        <v/>
      </c>
      <c r="E32" s="36" t="str">
        <f t="shared" ref="E32:I33" si="9">IF($D32="","",VLOOKUP($D32,名單,COLUMN()-3,FALSE))</f>
        <v/>
      </c>
      <c r="F32" s="37" t="str">
        <f t="shared" si="9"/>
        <v/>
      </c>
      <c r="G32" s="85" t="str">
        <f t="shared" si="9"/>
        <v/>
      </c>
      <c r="H32" s="38" t="str">
        <f t="shared" si="9"/>
        <v/>
      </c>
      <c r="I32" s="39" t="str">
        <f t="shared" si="9"/>
        <v/>
      </c>
      <c r="J32" s="69">
        <f t="shared" si="1"/>
        <v>0</v>
      </c>
      <c r="K32" s="42"/>
      <c r="L32" s="81" t="str">
        <f>basic!G31</f>
        <v/>
      </c>
      <c r="M32" s="34" t="str">
        <f>basic!H31</f>
        <v/>
      </c>
      <c r="N32" s="35" t="str">
        <f>IF(basic!I31="","",VLOOKUP(basic!I31,男子名次,2,FALSE))</f>
        <v/>
      </c>
      <c r="O32" s="36" t="str">
        <f t="shared" ref="O32:S33" si="10">IF($N32="","",VLOOKUP($N32,名單,COLUMN()-13,FALSE))</f>
        <v/>
      </c>
      <c r="P32" s="37" t="str">
        <f t="shared" si="10"/>
        <v/>
      </c>
      <c r="Q32" s="85" t="str">
        <f t="shared" si="10"/>
        <v/>
      </c>
      <c r="R32" s="38" t="str">
        <f t="shared" si="10"/>
        <v/>
      </c>
      <c r="S32" s="39" t="str">
        <f t="shared" si="10"/>
        <v/>
      </c>
      <c r="T32" s="69">
        <f t="shared" si="3"/>
        <v>0</v>
      </c>
    </row>
    <row r="33" spans="1:20" x14ac:dyDescent="0.25">
      <c r="A33" s="178"/>
      <c r="B33" s="79"/>
      <c r="C33" s="18"/>
      <c r="D33" s="19" t="str">
        <f>IF(basic!F32="","",VLOOKUP(basic!F32,女子名次,2,FALSE))</f>
        <v/>
      </c>
      <c r="E33" s="20" t="str">
        <f t="shared" si="9"/>
        <v/>
      </c>
      <c r="F33" s="21" t="str">
        <f t="shared" si="9"/>
        <v/>
      </c>
      <c r="G33" s="83" t="str">
        <f t="shared" si="9"/>
        <v/>
      </c>
      <c r="H33" s="22" t="str">
        <f t="shared" si="9"/>
        <v/>
      </c>
      <c r="I33" s="23" t="str">
        <f t="shared" si="9"/>
        <v/>
      </c>
      <c r="J33" s="61">
        <f t="shared" si="1"/>
        <v>0</v>
      </c>
      <c r="K33" s="42"/>
      <c r="L33" s="79"/>
      <c r="M33" s="18"/>
      <c r="N33" s="19" t="str">
        <f>IF(basic!I32="","",VLOOKUP(basic!I32,男子名次,2,FALSE))</f>
        <v/>
      </c>
      <c r="O33" s="20" t="str">
        <f t="shared" si="10"/>
        <v/>
      </c>
      <c r="P33" s="21" t="str">
        <f t="shared" si="10"/>
        <v/>
      </c>
      <c r="Q33" s="83" t="str">
        <f t="shared" si="10"/>
        <v/>
      </c>
      <c r="R33" s="22" t="str">
        <f t="shared" si="10"/>
        <v/>
      </c>
      <c r="S33" s="23" t="str">
        <f t="shared" si="10"/>
        <v/>
      </c>
      <c r="T33" s="61">
        <f t="shared" si="3"/>
        <v>0</v>
      </c>
    </row>
    <row r="34" spans="1:20" ht="17.25" thickBot="1" x14ac:dyDescent="0.3">
      <c r="A34" s="179"/>
      <c r="B34" s="80"/>
      <c r="C34" s="26"/>
      <c r="D34" s="27" t="str">
        <f>IF(basic!F48="","",VLOOKUP(basic!F48,男子名次,2,FALSE))</f>
        <v/>
      </c>
      <c r="E34" s="28" t="str">
        <f t="shared" ref="E34:I34" si="11">IF($D34="","",VLOOKUP($D34,名單,COLUMN()-3,FALSE))</f>
        <v/>
      </c>
      <c r="F34" s="29" t="str">
        <f t="shared" si="11"/>
        <v/>
      </c>
      <c r="G34" s="84" t="str">
        <f t="shared" si="11"/>
        <v/>
      </c>
      <c r="H34" s="30" t="str">
        <f t="shared" si="11"/>
        <v/>
      </c>
      <c r="I34" s="31" t="str">
        <f t="shared" si="11"/>
        <v/>
      </c>
      <c r="J34" s="65">
        <f t="shared" si="1"/>
        <v>0</v>
      </c>
      <c r="K34" s="54"/>
      <c r="L34" s="80"/>
      <c r="M34" s="26"/>
      <c r="N34" s="27" t="str">
        <f>IF(basic!I48="","",basic!I48)</f>
        <v/>
      </c>
      <c r="O34" s="28" t="str">
        <f t="shared" ref="O34:S34" si="12">IF($N34="","",VLOOKUP($N34,名單,COLUMN()-13,FALSE))</f>
        <v/>
      </c>
      <c r="P34" s="29" t="str">
        <f t="shared" si="12"/>
        <v/>
      </c>
      <c r="Q34" s="84" t="str">
        <f t="shared" si="12"/>
        <v/>
      </c>
      <c r="R34" s="30" t="str">
        <f t="shared" si="12"/>
        <v/>
      </c>
      <c r="S34" s="31" t="str">
        <f t="shared" si="12"/>
        <v/>
      </c>
      <c r="T34" s="65">
        <f t="shared" ref="T34" si="13">SUM(Q34:S34)</f>
        <v>0</v>
      </c>
    </row>
    <row r="35" spans="1:20" x14ac:dyDescent="0.25">
      <c r="A35" s="171" t="s">
        <v>0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</row>
  </sheetData>
  <sheetProtection password="EB6B" sheet="1" objects="1" scenarios="1"/>
  <mergeCells count="9">
    <mergeCell ref="A35:T35"/>
    <mergeCell ref="A1:T1"/>
    <mergeCell ref="A2:T2"/>
    <mergeCell ref="A3:G3"/>
    <mergeCell ref="B4:E4"/>
    <mergeCell ref="L4:O4"/>
    <mergeCell ref="K5:K13"/>
    <mergeCell ref="K14:K31"/>
    <mergeCell ref="A5:A34"/>
  </mergeCells>
  <phoneticPr fontId="2" type="noConversion"/>
  <conditionalFormatting sqref="G5:I34 Q5:S34">
    <cfRule type="cellIs" dxfId="3" priority="5" operator="lessThan">
      <formula>72</formula>
    </cfRule>
    <cfRule type="cellIs" dxfId="2" priority="6" operator="equal">
      <formula>72</formula>
    </cfRule>
  </conditionalFormatting>
  <conditionalFormatting sqref="T5:T34 J5:J34">
    <cfRule type="cellIs" dxfId="1" priority="1" operator="lessThan">
      <formula>216</formula>
    </cfRule>
    <cfRule type="cellIs" dxfId="0" priority="2" operator="equal">
      <formula>216</formula>
    </cfRule>
  </conditionalFormatting>
  <pageMargins left="0.7" right="0.7" top="0.75" bottom="0.75" header="0.3" footer="0.3"/>
  <pageSetup paperSize="9" scale="74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workbookViewId="0">
      <selection activeCell="B4" sqref="B4"/>
    </sheetView>
  </sheetViews>
  <sheetFormatPr defaultRowHeight="16.5" x14ac:dyDescent="0.25"/>
  <cols>
    <col min="1" max="1" width="3.875" customWidth="1"/>
    <col min="2" max="2" width="3.625" customWidth="1"/>
    <col min="3" max="5" width="10.625" customWidth="1"/>
    <col min="6" max="15" width="8.125" customWidth="1"/>
    <col min="18" max="18" width="10.5" customWidth="1"/>
    <col min="27" max="27" width="10.5" customWidth="1"/>
    <col min="28" max="30" width="8.875" customWidth="1"/>
  </cols>
  <sheetData>
    <row r="1" spans="1:30" ht="16.149999999999999" x14ac:dyDescent="0.3">
      <c r="A1" s="186" t="str">
        <f>MID('R1'!A1:T1,3,15)</f>
        <v>2015年台灣業餘高爾夫錦標賽</v>
      </c>
      <c r="B1" s="186"/>
      <c r="C1" s="186"/>
      <c r="D1" s="186"/>
      <c r="E1" s="187"/>
      <c r="F1" s="97" t="s">
        <v>49</v>
      </c>
      <c r="G1" s="97">
        <v>1</v>
      </c>
      <c r="H1" s="97">
        <v>2</v>
      </c>
      <c r="I1" s="97">
        <v>3</v>
      </c>
      <c r="J1" s="97">
        <v>4</v>
      </c>
      <c r="K1" s="97">
        <v>5</v>
      </c>
      <c r="L1" s="97">
        <v>6</v>
      </c>
      <c r="M1" s="97">
        <v>7</v>
      </c>
      <c r="N1" s="97">
        <v>8</v>
      </c>
      <c r="O1" s="97">
        <v>9</v>
      </c>
    </row>
    <row r="2" spans="1:30" ht="16.149999999999999" x14ac:dyDescent="0.3">
      <c r="A2" s="188">
        <f>E2-AA3+1</f>
        <v>4</v>
      </c>
      <c r="B2" s="188"/>
      <c r="C2" s="188"/>
      <c r="D2" s="98"/>
      <c r="E2" s="136">
        <v>42181</v>
      </c>
      <c r="F2" s="97" t="s">
        <v>50</v>
      </c>
      <c r="G2" s="99">
        <v>4</v>
      </c>
      <c r="H2" s="99">
        <v>3</v>
      </c>
      <c r="I2" s="99">
        <v>4</v>
      </c>
      <c r="J2" s="99">
        <v>3</v>
      </c>
      <c r="K2" s="99">
        <v>4</v>
      </c>
      <c r="L2" s="99">
        <v>5</v>
      </c>
      <c r="M2" s="99">
        <v>4</v>
      </c>
      <c r="N2" s="99">
        <v>4</v>
      </c>
      <c r="O2" s="99">
        <v>5</v>
      </c>
    </row>
    <row r="3" spans="1:30" x14ac:dyDescent="0.25">
      <c r="A3" s="189" t="s">
        <v>53</v>
      </c>
      <c r="B3" s="189"/>
      <c r="C3" s="189"/>
      <c r="D3" s="189"/>
      <c r="E3" s="189"/>
      <c r="F3" s="100">
        <v>1</v>
      </c>
      <c r="G3" s="101">
        <f>CHOOSE(G2-2,0.12,0.15,0.18)-0.01</f>
        <v>0.13999999999999999</v>
      </c>
      <c r="H3" s="101">
        <f t="shared" ref="H3:O3" si="0">CHOOSE(H2-2,0.12,0.15,0.18)</f>
        <v>0.12</v>
      </c>
      <c r="I3" s="101">
        <f>CHOOSE(I2-2,0.12,0.15,0.18)-0.01</f>
        <v>0.13999999999999999</v>
      </c>
      <c r="J3" s="101">
        <f t="shared" si="0"/>
        <v>0.12</v>
      </c>
      <c r="K3" s="101">
        <f t="shared" si="0"/>
        <v>0.15</v>
      </c>
      <c r="L3" s="101">
        <f>CHOOSE(L2-2,0.12,0.15,0.18)-0.01</f>
        <v>0.16999999999999998</v>
      </c>
      <c r="M3" s="101">
        <f>CHOOSE(M2-2,0.12,0.15,0.18)-0.01</f>
        <v>0.13999999999999999</v>
      </c>
      <c r="N3" s="101">
        <f t="shared" si="0"/>
        <v>0.15</v>
      </c>
      <c r="O3" s="101">
        <f t="shared" si="0"/>
        <v>0.18</v>
      </c>
      <c r="AA3" s="141">
        <v>42178</v>
      </c>
    </row>
    <row r="4" spans="1:30" x14ac:dyDescent="0.25">
      <c r="A4" s="190" t="s">
        <v>51</v>
      </c>
      <c r="B4" s="102">
        <f>IF(C4&lt;&gt;"",1,"")</f>
        <v>1</v>
      </c>
      <c r="C4" s="103" t="str">
        <f>IF(AB4="ROC",RIGHT(CHOOSE($A$2,'R1'!E5,'R2'!E5,'R3'!E5,'R4'!E5),3),CHOOSE($A$2,'R1'!E5,'R2'!E5,'R3'!E5,'R4'!E5))</f>
        <v>張育僑</v>
      </c>
      <c r="D4" s="104" t="str">
        <f>IF(AC4="ROC",RIGHT(CHOOSE($A$2,'R1'!E6,'R2'!E6,'R3'!E6,'R4'!E6),3),CHOOSE($A$2,'R1'!E6,'R2'!E6,'R3'!E6,'R4'!E6))</f>
        <v>鍾力新</v>
      </c>
      <c r="E4" s="105" t="str">
        <f>IF(AD4="ROC",RIGHT(CHOOSE($A$2,'R1'!E7,'R2'!E7,'R3'!E7,'R4'!E7),3),CHOOSE($A$2,'R1'!E7,'R2'!E7,'R3'!E7,'R4'!E7))</f>
        <v/>
      </c>
      <c r="F4" s="107">
        <f>IF(B4="","",basic!$A$2)</f>
        <v>0.29166666666666669</v>
      </c>
      <c r="G4" s="108">
        <f t="shared" ref="G4:O4" si="1">IF($B4="","",F4+G$3*100/60/24)</f>
        <v>0.30138888888888893</v>
      </c>
      <c r="H4" s="106">
        <f t="shared" si="1"/>
        <v>0.30972222222222229</v>
      </c>
      <c r="I4" s="107">
        <f t="shared" si="1"/>
        <v>0.31944444444444453</v>
      </c>
      <c r="J4" s="108">
        <f t="shared" si="1"/>
        <v>0.32777777777777789</v>
      </c>
      <c r="K4" s="106">
        <f t="shared" si="1"/>
        <v>0.33819444444444458</v>
      </c>
      <c r="L4" s="107">
        <f t="shared" si="1"/>
        <v>0.35000000000000014</v>
      </c>
      <c r="M4" s="108">
        <f t="shared" si="1"/>
        <v>0.35972222222222239</v>
      </c>
      <c r="N4" s="106">
        <f t="shared" si="1"/>
        <v>0.37013888888888907</v>
      </c>
      <c r="O4" s="107">
        <f t="shared" si="1"/>
        <v>0.38263888888888908</v>
      </c>
      <c r="AA4" s="141">
        <f>AA3+1</f>
        <v>42179</v>
      </c>
      <c r="AB4" t="str">
        <f>CHOOSE($A$2,'R1'!F5,'R2'!F5,'R3'!F5,'R4'!F5)</f>
        <v>ROC</v>
      </c>
      <c r="AC4" t="str">
        <f>CHOOSE($A$2,'R1'!F6,'R2'!F6,'R3'!F5,'R4'!F5)</f>
        <v>ROC</v>
      </c>
      <c r="AD4" t="str">
        <f>CHOOSE($A$2,'R1'!F7,'R2'!F7,'R3'!F7,'R4'!F7)</f>
        <v/>
      </c>
    </row>
    <row r="5" spans="1:30" x14ac:dyDescent="0.25">
      <c r="A5" s="190"/>
      <c r="B5" s="109">
        <f t="shared" ref="B5:B26" si="2">IF(C5&lt;&gt;"",B4+2,"")</f>
        <v>3</v>
      </c>
      <c r="C5" s="110" t="str">
        <f>IF(AB5="ROC",RIGHT(CHOOSE($A$2,'R1'!E8,'R2'!E8,'R3'!E8,'R4'!E8),3),CHOOSE($A$2,'R1'!E8,'R2'!E8,'R3'!E8,'R4'!E8))</f>
        <v>Tiger Lee</v>
      </c>
      <c r="D5" s="111" t="str">
        <f>IF(AC5="ROC",RIGHT(CHOOSE($A$2,'R1'!E9,'R2'!E9,'R3'!E9,'R4'!E9),3),CHOOSE($A$2,'R1'!E9,'R2'!E9,'R3'!E9,'R4'!E9))</f>
        <v>陳裔東</v>
      </c>
      <c r="E5" s="112" t="str">
        <f>IF(AD5="ROC",RIGHT(CHOOSE($A$2,'R1'!E10,'R2'!E10,'R3'!E10,'R4'!E10),3),CHOOSE($A$2,'R1'!E10,'R2'!E10,'R3'!E10,'R4'!E10))</f>
        <v>何祐誠</v>
      </c>
      <c r="F5" s="114">
        <f>IF(B5="","",F4+basic!$A$3/60/24)</f>
        <v>0.29791666666666666</v>
      </c>
      <c r="G5" s="115">
        <f t="shared" ref="G5:O5" si="3">IF($B5="","",F5+G$3*100/60/24)</f>
        <v>0.30763888888888891</v>
      </c>
      <c r="H5" s="113">
        <f t="shared" si="3"/>
        <v>0.31597222222222227</v>
      </c>
      <c r="I5" s="114">
        <f t="shared" si="3"/>
        <v>0.32569444444444451</v>
      </c>
      <c r="J5" s="115">
        <f t="shared" si="3"/>
        <v>0.33402777777777787</v>
      </c>
      <c r="K5" s="113">
        <f t="shared" si="3"/>
        <v>0.34444444444444455</v>
      </c>
      <c r="L5" s="114">
        <f t="shared" si="3"/>
        <v>0.35625000000000012</v>
      </c>
      <c r="M5" s="115">
        <f t="shared" si="3"/>
        <v>0.36597222222222237</v>
      </c>
      <c r="N5" s="113">
        <f t="shared" si="3"/>
        <v>0.37638888888888905</v>
      </c>
      <c r="O5" s="114">
        <f t="shared" si="3"/>
        <v>0.38888888888888906</v>
      </c>
      <c r="AA5" s="141">
        <f>AA4+1</f>
        <v>42180</v>
      </c>
      <c r="AB5" t="str">
        <f>CHOOSE($A$2,'R1'!F8,'R2'!F8,'R3'!F8,'R4'!F8)</f>
        <v>HKG</v>
      </c>
      <c r="AC5" t="str">
        <f>CHOOSE($A$2,'R1'!F9,'R2'!F9,'R3'!F9,'R4'!F9)</f>
        <v>ROC</v>
      </c>
      <c r="AD5" t="str">
        <f>CHOOSE($A$2,'R1'!F10,'R2'!F10,'R3'!F10,'R4'!F10)</f>
        <v>ROC</v>
      </c>
    </row>
    <row r="6" spans="1:30" x14ac:dyDescent="0.25">
      <c r="A6" s="190"/>
      <c r="B6" s="116">
        <f t="shared" si="2"/>
        <v>5</v>
      </c>
      <c r="C6" s="117" t="str">
        <f>IF(AB6="ROC",RIGHT(CHOOSE($A$2,'R1'!E11,'R2'!E11,'R3'!E11,'R4'!E11),3),CHOOSE($A$2,'R1'!E11,'R2'!E11,'R3'!E11,'R4'!E11))</f>
        <v>Terrence Ng</v>
      </c>
      <c r="D6" s="118" t="str">
        <f>IF(AC6="ROC",RIGHT(CHOOSE($A$2,'R1'!E12,'R2'!E12,'R3'!E12,'R4'!E12),3),CHOOSE($A$2,'R1'!E12,'R2'!E12,'R3'!E12,'R4'!E12))</f>
        <v>張勛宸</v>
      </c>
      <c r="E6" s="119" t="str">
        <f>IF(AD6="ROC",RIGHT(CHOOSE($A$2,'R1'!E13,'R2'!E13,'R3'!E13,'R4'!E13),3),CHOOSE($A$2,'R1'!E13,'R2'!E13,'R3'!E13,'R4'!E13))</f>
        <v>Chan Tuck Soon</v>
      </c>
      <c r="F6" s="121">
        <f>IF(B6="","",F5+basic!$A$3/60/24)</f>
        <v>0.30416666666666664</v>
      </c>
      <c r="G6" s="122">
        <f t="shared" ref="G6:O6" si="4">IF($B6="","",F6+G$3*100/60/24)</f>
        <v>0.31388888888888888</v>
      </c>
      <c r="H6" s="120">
        <f t="shared" si="4"/>
        <v>0.32222222222222224</v>
      </c>
      <c r="I6" s="121">
        <f t="shared" si="4"/>
        <v>0.33194444444444449</v>
      </c>
      <c r="J6" s="122">
        <f t="shared" si="4"/>
        <v>0.34027777777777785</v>
      </c>
      <c r="K6" s="120">
        <f t="shared" si="4"/>
        <v>0.35069444444444453</v>
      </c>
      <c r="L6" s="121">
        <f t="shared" si="4"/>
        <v>0.3625000000000001</v>
      </c>
      <c r="M6" s="122">
        <f t="shared" si="4"/>
        <v>0.37222222222222234</v>
      </c>
      <c r="N6" s="120">
        <f t="shared" si="4"/>
        <v>0.38263888888888903</v>
      </c>
      <c r="O6" s="121">
        <f t="shared" si="4"/>
        <v>0.39513888888888904</v>
      </c>
      <c r="AA6" s="141">
        <f>AA5+1</f>
        <v>42181</v>
      </c>
      <c r="AB6" t="str">
        <f>CHOOSE($A$2,'R1'!F11,'R2'!F11,'R3'!F11,'R4'!F11)</f>
        <v>HKG</v>
      </c>
      <c r="AC6" t="str">
        <f>CHOOSE($A$2,'R1'!F12,'R2'!F12,'R3'!F12,'R4'!F12)</f>
        <v>ROC</v>
      </c>
      <c r="AD6" t="str">
        <f>CHOOSE($A$2,'R1'!F13,'R2'!F13,'R3'!F13,'R4'!F13)</f>
        <v>MAS</v>
      </c>
    </row>
    <row r="7" spans="1:30" x14ac:dyDescent="0.25">
      <c r="A7" s="190"/>
      <c r="B7" s="102">
        <f t="shared" si="2"/>
        <v>7</v>
      </c>
      <c r="C7" s="123" t="str">
        <f>IF(AB7="ROC",RIGHT(CHOOSE($A$2,'R1'!E14,'R2'!E14,'R3'!E14,'R4'!E14),3),CHOOSE($A$2,'R1'!E14,'R2'!E14,'R3'!E14,'R4'!E14))</f>
        <v>Alvin Hiew</v>
      </c>
      <c r="D7" s="124" t="str">
        <f>IF(AC7="ROC",RIGHT(CHOOSE($A$2,'R1'!E15,'R2'!E15,'R3'!E15,'R4'!E15),3),CHOOSE($A$2,'R1'!E15,'R2'!E15,'R3'!E15,'R4'!E15))</f>
        <v>張庭嘉</v>
      </c>
      <c r="E7" s="125" t="str">
        <f>IF(AD7="ROC",RIGHT(CHOOSE($A$2,'R1'!E16,'R2'!E16,'R3'!E16,'R4'!E16),3),CHOOSE($A$2,'R1'!E16,'R2'!E16,'R3'!E16,'R4'!E16))</f>
        <v>黃子鈞</v>
      </c>
      <c r="F7" s="107">
        <f>IF(B7="","",F6+basic!$A$3/60/24)</f>
        <v>0.31041666666666662</v>
      </c>
      <c r="G7" s="108">
        <f t="shared" ref="G7:O7" si="5">IF($B7="","",F7+G$3*100/60/24)</f>
        <v>0.32013888888888886</v>
      </c>
      <c r="H7" s="106">
        <f t="shared" si="5"/>
        <v>0.32847222222222222</v>
      </c>
      <c r="I7" s="107">
        <f t="shared" si="5"/>
        <v>0.33819444444444446</v>
      </c>
      <c r="J7" s="108">
        <f t="shared" si="5"/>
        <v>0.34652777777777782</v>
      </c>
      <c r="K7" s="106">
        <f t="shared" si="5"/>
        <v>0.35694444444444451</v>
      </c>
      <c r="L7" s="107">
        <f t="shared" si="5"/>
        <v>0.36875000000000008</v>
      </c>
      <c r="M7" s="108">
        <f t="shared" si="5"/>
        <v>0.37847222222222232</v>
      </c>
      <c r="N7" s="106">
        <f t="shared" si="5"/>
        <v>0.38888888888888901</v>
      </c>
      <c r="O7" s="107">
        <f t="shared" si="5"/>
        <v>0.40138888888888902</v>
      </c>
      <c r="AB7" t="str">
        <f>CHOOSE($A$2,'R1'!F14,'R2'!F14,'R3'!F14,'R4'!F14)</f>
        <v>MAS</v>
      </c>
      <c r="AC7" t="str">
        <f>CHOOSE($A$2,'R1'!F15,'R2'!F15,'R3'!F15,'R4'!F15)</f>
        <v>ROC</v>
      </c>
      <c r="AD7" t="str">
        <f>CHOOSE($A$2,'R1'!F16,'R2'!F16,'R3'!F16,'R4'!F16)</f>
        <v>ROC</v>
      </c>
    </row>
    <row r="8" spans="1:30" x14ac:dyDescent="0.25">
      <c r="A8" s="190"/>
      <c r="B8" s="109">
        <f t="shared" si="2"/>
        <v>9</v>
      </c>
      <c r="C8" s="110" t="str">
        <f>IF(AB8="ROC",RIGHT(CHOOSE($A$2,'R1'!E17,'R2'!E17,'R3'!E17,'R4'!E17),3),CHOOSE($A$2,'R1'!E17,'R2'!E17,'R3'!E17,'R4'!E17))</f>
        <v>楊浚頡</v>
      </c>
      <c r="D8" s="111" t="str">
        <f>IF(AC8="ROC",RIGHT(CHOOSE($A$2,'R1'!E18,'R2'!E18,'R3'!E18,'R4'!E18),3),CHOOSE($A$2,'R1'!E18,'R2'!E18,'R3'!E18,'R4'!E18))</f>
        <v>陳宥蓁</v>
      </c>
      <c r="E8" s="112" t="str">
        <f>IF(AD8="ROC",RIGHT(CHOOSE($A$2,'R1'!E19,'R2'!E19,'R3'!E19,'R4'!E19),3),CHOOSE($A$2,'R1'!E19,'R2'!E19,'R3'!E19,'R4'!E19))</f>
        <v>劉威汎</v>
      </c>
      <c r="F8" s="114">
        <f>IF(B8="","",F7+basic!$A$3/60/24)</f>
        <v>0.3166666666666666</v>
      </c>
      <c r="G8" s="115">
        <f t="shared" ref="G8:O8" si="6">IF($B8="","",F8+G$3*100/60/24)</f>
        <v>0.32638888888888884</v>
      </c>
      <c r="H8" s="113">
        <f t="shared" si="6"/>
        <v>0.3347222222222222</v>
      </c>
      <c r="I8" s="114">
        <f t="shared" si="6"/>
        <v>0.34444444444444444</v>
      </c>
      <c r="J8" s="115">
        <f t="shared" si="6"/>
        <v>0.3527777777777778</v>
      </c>
      <c r="K8" s="113">
        <f t="shared" si="6"/>
        <v>0.36319444444444449</v>
      </c>
      <c r="L8" s="114">
        <f t="shared" si="6"/>
        <v>0.37500000000000006</v>
      </c>
      <c r="M8" s="115">
        <f t="shared" si="6"/>
        <v>0.3847222222222223</v>
      </c>
      <c r="N8" s="113">
        <f t="shared" si="6"/>
        <v>0.39513888888888898</v>
      </c>
      <c r="O8" s="114">
        <f t="shared" si="6"/>
        <v>0.40763888888888899</v>
      </c>
      <c r="AB8" t="str">
        <f>CHOOSE($A$2,'R1'!F17,'R2'!F17,'R3'!F17,'R4'!F17)</f>
        <v>ROC</v>
      </c>
      <c r="AC8" t="str">
        <f>CHOOSE($A$2,'R1'!F18,'R2'!F18,'R3'!F18,'R4'!F18)</f>
        <v>ROC</v>
      </c>
      <c r="AD8" t="str">
        <f>CHOOSE($A$2,'R1'!F19,'R2'!F19,'R3'!F19,'R4'!F19)</f>
        <v>ROC</v>
      </c>
    </row>
    <row r="9" spans="1:30" x14ac:dyDescent="0.25">
      <c r="A9" s="190"/>
      <c r="B9" s="116">
        <f t="shared" si="2"/>
        <v>11</v>
      </c>
      <c r="C9" s="117" t="str">
        <f>IF(AB9="ROC",RIGHT(CHOOSE($A$2,'R1'!E20,'R2'!E20,'R3'!E20,'R4'!E20),3),CHOOSE($A$2,'R1'!E20,'R2'!E20,'R3'!E20,'R4'!E20))</f>
        <v>Matthew Cheung</v>
      </c>
      <c r="D9" s="118" t="str">
        <f>IF(AC9="ROC",RIGHT(CHOOSE($A$2,'R1'!E21,'R2'!E21,'R3'!E21,'R4'!E21),3),CHOOSE($A$2,'R1'!E21,'R2'!E21,'R3'!E21,'R4'!E21))</f>
        <v>呂孫儀</v>
      </c>
      <c r="E9" s="119" t="str">
        <f>IF(AD9="ROC",RIGHT(CHOOSE($A$2,'R1'!E22,'R2'!E22,'R3'!E22,'R4'!E22),3),CHOOSE($A$2,'R1'!E22,'R2'!E22,'R3'!E22,'R4'!E22))</f>
        <v>沈威成</v>
      </c>
      <c r="F9" s="121">
        <f>IF(B9="","",F8+basic!$A$3/60/24)</f>
        <v>0.32291666666666657</v>
      </c>
      <c r="G9" s="122">
        <f t="shared" ref="G9:O9" si="7">IF($B9="","",F9+G$3*100/60/24)</f>
        <v>0.33263888888888882</v>
      </c>
      <c r="H9" s="120">
        <f t="shared" si="7"/>
        <v>0.34097222222222218</v>
      </c>
      <c r="I9" s="121">
        <f t="shared" si="7"/>
        <v>0.35069444444444442</v>
      </c>
      <c r="J9" s="122">
        <f t="shared" si="7"/>
        <v>0.35902777777777778</v>
      </c>
      <c r="K9" s="120">
        <f t="shared" si="7"/>
        <v>0.36944444444444446</v>
      </c>
      <c r="L9" s="121">
        <f t="shared" si="7"/>
        <v>0.38125000000000003</v>
      </c>
      <c r="M9" s="122">
        <f t="shared" si="7"/>
        <v>0.39097222222222228</v>
      </c>
      <c r="N9" s="120">
        <f t="shared" si="7"/>
        <v>0.40138888888888896</v>
      </c>
      <c r="O9" s="121">
        <f t="shared" si="7"/>
        <v>0.41388888888888897</v>
      </c>
      <c r="AB9" t="str">
        <f>CHOOSE($A$2,'R1'!F20,'R2'!F20,'R3'!F20,'R4'!F20)</f>
        <v>HKG</v>
      </c>
      <c r="AC9" t="str">
        <f>CHOOSE($A$2,'R1'!F21,'R2'!F21,'R3'!F21,'R4'!F21)</f>
        <v>ROC</v>
      </c>
      <c r="AD9" t="str">
        <f>CHOOSE($A$2,'R1'!F22,'R2'!F22,'R3'!F22,'R4'!F22)</f>
        <v>ROC</v>
      </c>
    </row>
    <row r="10" spans="1:30" x14ac:dyDescent="0.25">
      <c r="A10" s="190"/>
      <c r="B10" s="102">
        <f t="shared" si="2"/>
        <v>13</v>
      </c>
      <c r="C10" s="123" t="str">
        <f>IF(AB10="ROC",RIGHT(CHOOSE($A$2,'R1'!E23,'R2'!E23,'R3'!E23,'R4'!E23),3),CHOOSE($A$2,'R1'!E23,'R2'!E23,'R3'!E23,'R4'!E23))</f>
        <v xml:space="preserve">Aman Raj </v>
      </c>
      <c r="D10" s="124" t="str">
        <f>IF(AC10="ROC",RIGHT(CHOOSE($A$2,'R1'!E24,'R2'!E24,'R3'!E24,'R4'!E24),3),CHOOSE($A$2,'R1'!E24,'R2'!E24,'R3'!E24,'R4'!E24))</f>
        <v>蔡哲弘</v>
      </c>
      <c r="E10" s="125" t="str">
        <f>IF(AD10="ROC",RIGHT(CHOOSE($A$2,'R1'!E25,'R2'!E25,'R3'!E25,'R4'!E25),3),CHOOSE($A$2,'R1'!E25,'R2'!E25,'R3'!E25,'R4'!E25))</f>
        <v>邱瀚霆</v>
      </c>
      <c r="F10" s="107">
        <f>IF(B10="","",F9+basic!$A$3/60/24)</f>
        <v>0.32916666666666655</v>
      </c>
      <c r="G10" s="108">
        <f t="shared" ref="G10:O10" si="8">IF($B10="","",F10+G$3*100/60/24)</f>
        <v>0.3388888888888888</v>
      </c>
      <c r="H10" s="106">
        <f t="shared" si="8"/>
        <v>0.34722222222222215</v>
      </c>
      <c r="I10" s="107">
        <f t="shared" si="8"/>
        <v>0.3569444444444444</v>
      </c>
      <c r="J10" s="108">
        <f t="shared" si="8"/>
        <v>0.36527777777777776</v>
      </c>
      <c r="K10" s="106">
        <f t="shared" si="8"/>
        <v>0.37569444444444444</v>
      </c>
      <c r="L10" s="107">
        <f t="shared" si="8"/>
        <v>0.38750000000000001</v>
      </c>
      <c r="M10" s="108">
        <f t="shared" si="8"/>
        <v>0.39722222222222225</v>
      </c>
      <c r="N10" s="106">
        <f t="shared" si="8"/>
        <v>0.40763888888888894</v>
      </c>
      <c r="O10" s="107">
        <f t="shared" si="8"/>
        <v>0.42013888888888895</v>
      </c>
      <c r="AB10" t="str">
        <f>CHOOSE($A$2,'R1'!F23,'R2'!F23,'R3'!F23,'R4'!F23)</f>
        <v>IND</v>
      </c>
      <c r="AC10" t="str">
        <f>CHOOSE($A$2,'R1'!F24,'R2'!F24,'R3'!F24,'R4'!F24)</f>
        <v>ROC</v>
      </c>
      <c r="AD10" t="str">
        <f>CHOOSE($A$2,'R1'!F25,'R2'!F25,'R3'!F25,'R4'!F25)</f>
        <v>ROC</v>
      </c>
    </row>
    <row r="11" spans="1:30" x14ac:dyDescent="0.25">
      <c r="A11" s="190"/>
      <c r="B11" s="109">
        <f t="shared" si="2"/>
        <v>15</v>
      </c>
      <c r="C11" s="110" t="str">
        <f>IF(AB11="ROC",RIGHT(CHOOSE($A$2,'R1'!E26,'R2'!E26,'R3'!E26,'R4'!E26),3),CHOOSE($A$2,'R1'!E26,'R2'!E26,'R3'!E26,'R4'!E26))</f>
        <v>Sangchai Kaewcharoen</v>
      </c>
      <c r="D11" s="111" t="str">
        <f>IF(AC11="ROC",RIGHT(CHOOSE($A$2,'R1'!E27,'R2'!E27,'R3'!E27,'R4'!E27),3),CHOOSE($A$2,'R1'!E27,'R2'!E27,'R3'!E27,'R4'!E27))</f>
        <v>Gregory Foo</v>
      </c>
      <c r="E11" s="112" t="str">
        <f>IF(AD11="ROC",RIGHT(CHOOSE($A$2,'R1'!E28,'R2'!E28,'R3'!E28,'R4'!E28),3),CHOOSE($A$2,'R1'!E28,'R2'!E28,'R3'!E28,'R4'!E28))</f>
        <v>Marc Ong</v>
      </c>
      <c r="F11" s="114">
        <f>IF(B11="","",F10+basic!$A$3/60/24)</f>
        <v>0.33541666666666653</v>
      </c>
      <c r="G11" s="115">
        <f t="shared" ref="G11:O11" si="9">IF($B11="","",F11+G$3*100/60/24)</f>
        <v>0.34513888888888877</v>
      </c>
      <c r="H11" s="113">
        <f t="shared" si="9"/>
        <v>0.35347222222222213</v>
      </c>
      <c r="I11" s="114">
        <f t="shared" si="9"/>
        <v>0.36319444444444438</v>
      </c>
      <c r="J11" s="115">
        <f t="shared" si="9"/>
        <v>0.37152777777777773</v>
      </c>
      <c r="K11" s="113">
        <f t="shared" si="9"/>
        <v>0.38194444444444442</v>
      </c>
      <c r="L11" s="114">
        <f t="shared" si="9"/>
        <v>0.39374999999999999</v>
      </c>
      <c r="M11" s="115">
        <f t="shared" si="9"/>
        <v>0.40347222222222223</v>
      </c>
      <c r="N11" s="113">
        <f t="shared" si="9"/>
        <v>0.41388888888888892</v>
      </c>
      <c r="O11" s="114">
        <f t="shared" si="9"/>
        <v>0.42638888888888893</v>
      </c>
      <c r="AB11" t="str">
        <f>CHOOSE($A$2,'R1'!F26,'R2'!F26,'R3'!F26,'R4'!F26)</f>
        <v>THA</v>
      </c>
      <c r="AC11" t="str">
        <f>CHOOSE($A$2,'R1'!F27,'R2'!F27,'R3'!F27,'R4'!F27)</f>
        <v>SIN</v>
      </c>
      <c r="AD11" t="str">
        <f>CHOOSE($A$2,'R1'!F28,'R2'!F28,'R3'!F28,'R4'!F28)</f>
        <v>SIN</v>
      </c>
    </row>
    <row r="12" spans="1:30" x14ac:dyDescent="0.25">
      <c r="A12" s="190"/>
      <c r="B12" s="116">
        <f t="shared" si="2"/>
        <v>17</v>
      </c>
      <c r="C12" s="117" t="str">
        <f>IF(AB12="ROC",RIGHT(CHOOSE($A$2,'R1'!E29,'R2'!E29,'R3'!E29,'R4'!E29),3),CHOOSE($A$2,'R1'!E29,'R2'!E29,'R3'!E29,'R4'!E29))</f>
        <v>Viraaj Madappa</v>
      </c>
      <c r="D12" s="118" t="str">
        <f>IF(AC12="ROC",RIGHT(CHOOSE($A$2,'R1'!E30,'R2'!E30,'R3'!E30,'R4'!E30),3),CHOOSE($A$2,'R1'!E30,'R2'!E30,'R3'!E30,'R4'!E30))</f>
        <v>Sadom Kaewkanjana</v>
      </c>
      <c r="E12" s="119" t="str">
        <f>IF(AD12="ROC",RIGHT(CHOOSE($A$2,'R1'!E31,'R2'!E31,'R3'!E31,'R4'!E31),3),CHOOSE($A$2,'R1'!E31,'R2'!E31,'R3'!E31,'R4'!E31))</f>
        <v>Lloyd Jefferson Go</v>
      </c>
      <c r="F12" s="121">
        <f>IF(B12="","",F11+basic!$A$3/60/24)</f>
        <v>0.34166666666666651</v>
      </c>
      <c r="G12" s="122">
        <f t="shared" ref="G12:O12" si="10">IF($B12="","",F12+G$3*100/60/24)</f>
        <v>0.35138888888888875</v>
      </c>
      <c r="H12" s="120">
        <f t="shared" si="10"/>
        <v>0.35972222222222211</v>
      </c>
      <c r="I12" s="121">
        <f t="shared" si="10"/>
        <v>0.36944444444444435</v>
      </c>
      <c r="J12" s="122">
        <f t="shared" si="10"/>
        <v>0.37777777777777771</v>
      </c>
      <c r="K12" s="120">
        <f t="shared" si="10"/>
        <v>0.3881944444444444</v>
      </c>
      <c r="L12" s="121">
        <f t="shared" si="10"/>
        <v>0.39999999999999997</v>
      </c>
      <c r="M12" s="122">
        <f t="shared" si="10"/>
        <v>0.40972222222222221</v>
      </c>
      <c r="N12" s="120">
        <f t="shared" si="10"/>
        <v>0.4201388888888889</v>
      </c>
      <c r="O12" s="121">
        <f t="shared" si="10"/>
        <v>0.43263888888888891</v>
      </c>
      <c r="AB12" t="str">
        <f>CHOOSE($A$2,'R1'!F29,'R2'!F29,'R3'!F29,'R4'!F29)</f>
        <v>IND</v>
      </c>
      <c r="AC12" t="str">
        <f>CHOOSE($A$2,'R1'!F30,'R2'!F30,'R3'!F30,'R4'!F30)</f>
        <v>THA</v>
      </c>
      <c r="AD12" t="str">
        <f>CHOOSE($A$2,'R1'!F31,'R2'!F31,'R3'!F31,'R4'!F31)</f>
        <v>PHI</v>
      </c>
    </row>
    <row r="13" spans="1:30" x14ac:dyDescent="0.25">
      <c r="A13" s="190"/>
      <c r="B13" s="102"/>
      <c r="C13" s="123"/>
      <c r="D13" s="124"/>
      <c r="E13" s="125"/>
      <c r="F13" s="107"/>
      <c r="G13" s="108"/>
      <c r="H13" s="106"/>
      <c r="I13" s="107"/>
      <c r="J13" s="108"/>
      <c r="K13" s="106"/>
      <c r="L13" s="107"/>
      <c r="M13" s="108"/>
      <c r="N13" s="106"/>
      <c r="O13" s="107"/>
      <c r="AB13" t="str">
        <f>CHOOSE($A$2,'R1'!F32,'R2'!F32,'R3'!#REF!,'R4'!F32)</f>
        <v/>
      </c>
      <c r="AC13" t="str">
        <f>CHOOSE($A$2,'R1'!F33,'R2'!F33,'R3'!#REF!,'R4'!F33)</f>
        <v/>
      </c>
      <c r="AD13" t="e">
        <f>CHOOSE($A$2,'R1'!F34,'R2'!F34,'R3'!#REF!,'R4'!#REF!)</f>
        <v>#REF!</v>
      </c>
    </row>
    <row r="14" spans="1:30" x14ac:dyDescent="0.25">
      <c r="A14" s="190"/>
      <c r="B14" s="109"/>
      <c r="C14" s="110"/>
      <c r="D14" s="111"/>
      <c r="E14" s="112"/>
      <c r="F14" s="114"/>
      <c r="G14" s="115"/>
      <c r="H14" s="113"/>
      <c r="I14" s="114"/>
      <c r="J14" s="115"/>
      <c r="K14" s="113"/>
      <c r="L14" s="114"/>
      <c r="M14" s="115"/>
      <c r="N14" s="113"/>
      <c r="O14" s="114"/>
      <c r="AB14" t="e">
        <f>CHOOSE($A$2,'R1'!F35,'R2'!F35,'R3'!#REF!,'R4'!#REF!)</f>
        <v>#REF!</v>
      </c>
      <c r="AC14" t="e">
        <f>CHOOSE($A$2,'R1'!F36,'R2'!F36,'R3'!#REF!,'R4'!#REF!)</f>
        <v>#REF!</v>
      </c>
      <c r="AD14" t="e">
        <f>CHOOSE($A$2,'R1'!F37,'R2'!F37,'R3'!#REF!,'R4'!#REF!)</f>
        <v>#REF!</v>
      </c>
    </row>
    <row r="15" spans="1:30" x14ac:dyDescent="0.25">
      <c r="A15" s="190"/>
      <c r="B15" s="116"/>
      <c r="C15" s="117"/>
      <c r="D15" s="118"/>
      <c r="E15" s="119"/>
      <c r="F15" s="121"/>
      <c r="G15" s="122"/>
      <c r="H15" s="120"/>
      <c r="I15" s="121"/>
      <c r="J15" s="122"/>
      <c r="K15" s="120"/>
      <c r="L15" s="121"/>
      <c r="M15" s="122"/>
      <c r="N15" s="120"/>
      <c r="O15" s="121"/>
      <c r="AB15" t="e">
        <f>CHOOSE($A$2,'R1'!F38,'R2'!F38,'R3'!#REF!,'R4'!#REF!)</f>
        <v>#REF!</v>
      </c>
      <c r="AC15" t="e">
        <f>CHOOSE($A$2,'R1'!F39,'R2'!F39,'R3'!#REF!,'R4'!#REF!)</f>
        <v>#REF!</v>
      </c>
      <c r="AD15" t="e">
        <f>CHOOSE($A$2,'R1'!F40,'R2'!F40,'R3'!#REF!,'R4'!#REF!)</f>
        <v>#REF!</v>
      </c>
    </row>
    <row r="16" spans="1:30" x14ac:dyDescent="0.25">
      <c r="A16" s="190"/>
      <c r="B16" s="102"/>
      <c r="C16" s="123"/>
      <c r="D16" s="124"/>
      <c r="E16" s="125"/>
      <c r="F16" s="107"/>
      <c r="G16" s="108"/>
      <c r="H16" s="106"/>
      <c r="I16" s="107"/>
      <c r="J16" s="108"/>
      <c r="K16" s="106"/>
      <c r="L16" s="107"/>
      <c r="M16" s="108"/>
      <c r="N16" s="106"/>
      <c r="O16" s="107"/>
      <c r="AB16" t="e">
        <f>CHOOSE($A$2,'R1'!F41,'R2'!F41,'R3'!#REF!,'R4'!#REF!)</f>
        <v>#REF!</v>
      </c>
      <c r="AC16" t="e">
        <f>CHOOSE($A$2,'R1'!F42,'R2'!F42,'R3'!#REF!,'R4'!#REF!)</f>
        <v>#REF!</v>
      </c>
      <c r="AD16" t="e">
        <f>CHOOSE($A$2,'R1'!F43,'R2'!F43,'R3'!#REF!,'R4'!#REF!)</f>
        <v>#REF!</v>
      </c>
    </row>
    <row r="17" spans="1:30" x14ac:dyDescent="0.25">
      <c r="A17" s="190"/>
      <c r="B17" s="109"/>
      <c r="C17" s="110"/>
      <c r="D17" s="111"/>
      <c r="E17" s="112"/>
      <c r="F17" s="114"/>
      <c r="G17" s="115"/>
      <c r="H17" s="113"/>
      <c r="I17" s="114"/>
      <c r="J17" s="115"/>
      <c r="K17" s="113"/>
      <c r="L17" s="114"/>
      <c r="M17" s="115"/>
      <c r="N17" s="113"/>
      <c r="O17" s="114"/>
      <c r="AB17" t="e">
        <f>CHOOSE($A$2,'R1'!F44,'R2'!F44,'R3'!#REF!,'R4'!#REF!)</f>
        <v>#REF!</v>
      </c>
      <c r="AC17" t="e">
        <f>CHOOSE($A$2,'R1'!F45,'R2'!F45,'R3'!#REF!,'R4'!#REF!)</f>
        <v>#REF!</v>
      </c>
      <c r="AD17" t="e">
        <f>CHOOSE($A$2,'R1'!F46,'R2'!F46,'R3'!#REF!,'R4'!#REF!)</f>
        <v>#REF!</v>
      </c>
    </row>
    <row r="18" spans="1:30" x14ac:dyDescent="0.25">
      <c r="A18" s="190"/>
      <c r="B18" s="116"/>
      <c r="C18" s="126"/>
      <c r="D18" s="127"/>
      <c r="E18" s="128"/>
      <c r="F18" s="121"/>
      <c r="G18" s="122"/>
      <c r="H18" s="120"/>
      <c r="I18" s="121"/>
      <c r="J18" s="122"/>
      <c r="K18" s="120"/>
      <c r="L18" s="121"/>
      <c r="M18" s="122"/>
      <c r="N18" s="120"/>
      <c r="O18" s="121"/>
      <c r="AB18" t="e">
        <f>CHOOSE($A$2,'R1'!F47,'R2'!F47,'R3'!F32,'R4'!#REF!)</f>
        <v>#REF!</v>
      </c>
      <c r="AC18" t="e">
        <f>CHOOSE($A$2,'R1'!F48,'R2'!F48,'R3'!F33,'R4'!#REF!)</f>
        <v>#REF!</v>
      </c>
      <c r="AD18" t="str">
        <f>CHOOSE($A$2,'R1'!F49,'R2'!F49,'R3'!F34,'R4'!F34)</f>
        <v/>
      </c>
    </row>
    <row r="19" spans="1:30" x14ac:dyDescent="0.25">
      <c r="A19" s="190" t="s">
        <v>52</v>
      </c>
      <c r="B19" s="102">
        <f>IF(C19&lt;&gt;"",2,"")</f>
        <v>2</v>
      </c>
      <c r="C19" s="103" t="str">
        <f>IF(AB19="ROC",RIGHT(CHOOSE($A$2,'R1'!O5,'R2'!O5,'R3'!O5,'R4'!O5),3),CHOOSE($A$2,'R1'!O5,'R2'!O5,'R3'!O5,'R4'!O5))</f>
        <v xml:space="preserve">Kaito Kitazoe </v>
      </c>
      <c r="D19" s="104" t="str">
        <f>IF(AC19="ROC",RIGHT(CHOOSE($A$2,'R1'!O6,'R2'!O6,'R3'!O6,'R4'!O6),3),CHOOSE($A$2,'R1'!O6,'R2'!O6,'R3'!O6,'R4'!O6))</f>
        <v>張修齊</v>
      </c>
      <c r="E19" s="105" t="str">
        <f>IF(AD19="ROC",RIGHT(CHOOSE($A$2,'R1'!O7,'R2'!O7,'R3'!O7,'R4'!O7),3),CHOOSE($A$2,'R1'!O7,'R2'!O7,'R3'!O7,'R4'!O7))</f>
        <v>黃議增</v>
      </c>
      <c r="F19" s="107">
        <f t="shared" ref="F19:F27" si="11">IF(B19="","",O37+5/60/24)</f>
        <v>0.38541666666666685</v>
      </c>
      <c r="G19" s="108">
        <f t="shared" ref="G19:O19" si="12">IF($B19="","",F19+G$3*100/60/24)</f>
        <v>0.39513888888888909</v>
      </c>
      <c r="H19" s="106">
        <f t="shared" si="12"/>
        <v>0.40347222222222245</v>
      </c>
      <c r="I19" s="107">
        <f t="shared" si="12"/>
        <v>0.4131944444444447</v>
      </c>
      <c r="J19" s="108">
        <f t="shared" si="12"/>
        <v>0.42152777777777806</v>
      </c>
      <c r="K19" s="106">
        <f t="shared" si="12"/>
        <v>0.43194444444444474</v>
      </c>
      <c r="L19" s="107">
        <f t="shared" si="12"/>
        <v>0.44375000000000031</v>
      </c>
      <c r="M19" s="108">
        <f t="shared" si="12"/>
        <v>0.45347222222222255</v>
      </c>
      <c r="N19" s="106">
        <f t="shared" si="12"/>
        <v>0.46388888888888924</v>
      </c>
      <c r="O19" s="107">
        <f t="shared" si="12"/>
        <v>0.47638888888888925</v>
      </c>
      <c r="AB19" t="str">
        <f>CHOOSE($A$2,'R1'!P5,'R2'!P5,'R3'!P5,'R4'!P5)</f>
        <v>JPN</v>
      </c>
      <c r="AC19" t="str">
        <f>CHOOSE($A$2,'R1'!P6,'R2'!P6,'R3'!P6,'R4'!P6)</f>
        <v>ROC</v>
      </c>
      <c r="AD19" t="str">
        <f>CHOOSE($A$2,'R1'!P7,'R2'!P7,'R3'!P7,'R4'!P7)</f>
        <v>ROC</v>
      </c>
    </row>
    <row r="20" spans="1:30" x14ac:dyDescent="0.25">
      <c r="A20" s="190"/>
      <c r="B20" s="109">
        <f t="shared" si="2"/>
        <v>4</v>
      </c>
      <c r="C20" s="110" t="str">
        <f>IF(AB20="ROC",RIGHT(CHOOSE($A$2,'R1'!O8,'R2'!O8,'R3'!O8,'R4'!O8),3),CHOOSE($A$2,'R1'!O8,'R2'!O8,'R3'!O8,'R4'!O8))</f>
        <v>廖崇廷</v>
      </c>
      <c r="D20" s="111" t="str">
        <f>IF(AC20="ROC",RIGHT(CHOOSE($A$2,'R1'!O9,'R2'!O9,'R3'!O9,'R4'!O9),3),CHOOSE($A$2,'R1'!O9,'R2'!O9,'R3'!O9,'R4'!O9))</f>
        <v>Steven Lam</v>
      </c>
      <c r="E20" s="112" t="str">
        <f>IF(AD20="ROC",RIGHT(CHOOSE($A$2,'R1'!O10,'R2'!O10,'R3'!O10,'R4'!O10),3),CHOOSE($A$2,'R1'!O10,'R2'!O10,'R3'!O10,'R4'!O10))</f>
        <v>邱瀚緯</v>
      </c>
      <c r="F20" s="114">
        <f t="shared" si="11"/>
        <v>0.39166666666666683</v>
      </c>
      <c r="G20" s="115">
        <f t="shared" ref="G20:O20" si="13">IF($B20="","",F20+G$3*100/60/24)</f>
        <v>0.40138888888888907</v>
      </c>
      <c r="H20" s="113">
        <f t="shared" si="13"/>
        <v>0.40972222222222243</v>
      </c>
      <c r="I20" s="114">
        <f t="shared" si="13"/>
        <v>0.41944444444444468</v>
      </c>
      <c r="J20" s="115">
        <f t="shared" si="13"/>
        <v>0.42777777777777803</v>
      </c>
      <c r="K20" s="113">
        <f t="shared" si="13"/>
        <v>0.43819444444444472</v>
      </c>
      <c r="L20" s="114">
        <f t="shared" si="13"/>
        <v>0.45000000000000029</v>
      </c>
      <c r="M20" s="115">
        <f t="shared" si="13"/>
        <v>0.45972222222222253</v>
      </c>
      <c r="N20" s="113">
        <f t="shared" si="13"/>
        <v>0.47013888888888922</v>
      </c>
      <c r="O20" s="114">
        <f t="shared" si="13"/>
        <v>0.48263888888888923</v>
      </c>
      <c r="AB20" t="str">
        <f>CHOOSE($A$2,'R1'!P8,'R2'!P8,'R3'!P8,'R4'!P8)</f>
        <v>ROC</v>
      </c>
      <c r="AC20" t="str">
        <f>CHOOSE($A$2,'R1'!P9,'R2'!P9,'R3'!P9,'R4'!P9)</f>
        <v>HKG</v>
      </c>
      <c r="AD20" t="str">
        <f>CHOOSE($A$2,'R1'!P10,'R2'!P10,'R3'!P10,'R4'!P10)</f>
        <v>ROC</v>
      </c>
    </row>
    <row r="21" spans="1:30" x14ac:dyDescent="0.25">
      <c r="A21" s="190"/>
      <c r="B21" s="116">
        <f t="shared" si="2"/>
        <v>6</v>
      </c>
      <c r="C21" s="117" t="str">
        <f>IF(AB21="ROC",RIGHT(CHOOSE($A$2,'R1'!O11,'R2'!O11,'R3'!O11,'R4'!O11),3),CHOOSE($A$2,'R1'!O11,'R2'!O11,'R3'!O11,'R4'!O11))</f>
        <v>劉永華</v>
      </c>
      <c r="D21" s="118" t="str">
        <f>IF(AC21="ROC",RIGHT(CHOOSE($A$2,'R1'!O12,'R2'!O12,'R3'!O12,'R4'!O12),3),CHOOSE($A$2,'R1'!O12,'R2'!O12,'R3'!O12,'R4'!O12))</f>
        <v>Jan Philip de Claro</v>
      </c>
      <c r="E21" s="119" t="str">
        <f>IF(AD21="ROC",RIGHT(CHOOSE($A$2,'R1'!O13,'R2'!O13,'R3'!O13,'R4'!O13),3),CHOOSE($A$2,'R1'!O13,'R2'!O13,'R3'!O13,'R4'!O13))</f>
        <v>廖云瑞</v>
      </c>
      <c r="F21" s="121">
        <f t="shared" si="11"/>
        <v>0.39791666666666681</v>
      </c>
      <c r="G21" s="122">
        <f t="shared" ref="G21:O21" si="14">IF($B21="","",F21+G$3*100/60/24)</f>
        <v>0.40763888888888905</v>
      </c>
      <c r="H21" s="120">
        <f t="shared" si="14"/>
        <v>0.41597222222222241</v>
      </c>
      <c r="I21" s="121">
        <f t="shared" si="14"/>
        <v>0.42569444444444465</v>
      </c>
      <c r="J21" s="122">
        <f t="shared" si="14"/>
        <v>0.43402777777777801</v>
      </c>
      <c r="K21" s="120">
        <f t="shared" si="14"/>
        <v>0.4444444444444447</v>
      </c>
      <c r="L21" s="121">
        <f t="shared" si="14"/>
        <v>0.45625000000000027</v>
      </c>
      <c r="M21" s="122">
        <f t="shared" si="14"/>
        <v>0.46597222222222251</v>
      </c>
      <c r="N21" s="120">
        <f t="shared" si="14"/>
        <v>0.47638888888888919</v>
      </c>
      <c r="O21" s="121">
        <f t="shared" si="14"/>
        <v>0.48888888888888921</v>
      </c>
      <c r="AB21" t="str">
        <f>CHOOSE($A$2,'R1'!P11,'R2'!P11,'R3'!P11,'R4'!P11)</f>
        <v>ROC</v>
      </c>
      <c r="AC21" t="str">
        <f>CHOOSE($A$2,'R1'!P12,'R2'!P12,'R3'!P12,'R4'!P12)</f>
        <v>PHI</v>
      </c>
      <c r="AD21" t="str">
        <f>CHOOSE($A$2,'R1'!P13,'R2'!P13,'R3'!P13,'R4'!P13)</f>
        <v>ROC</v>
      </c>
    </row>
    <row r="22" spans="1:30" x14ac:dyDescent="0.25">
      <c r="A22" s="190"/>
      <c r="B22" s="102">
        <f t="shared" si="2"/>
        <v>8</v>
      </c>
      <c r="C22" s="123" t="str">
        <f>IF(AB22="ROC",RIGHT(CHOOSE($A$2,'R1'!O14,'R2'!O14,'R3'!O14,'R4'!O14),3),CHOOSE($A$2,'R1'!O14,'R2'!O14,'R3'!O14,'R4'!O14))</f>
        <v>黃郁評</v>
      </c>
      <c r="D22" s="124" t="str">
        <f>IF(AC22="ROC",RIGHT(CHOOSE($A$2,'R1'!O15,'R2'!O15,'R3'!O15,'R4'!O15),3),CHOOSE($A$2,'R1'!O15,'R2'!O15,'R3'!O15,'R4'!O15))</f>
        <v>Winnie Ng Yu Xuan</v>
      </c>
      <c r="E22" s="125" t="str">
        <f>IF(AD22="ROC",RIGHT(CHOOSE($A$2,'R1'!O16,'R2'!O16,'R3'!O16,'R4'!O16),3),CHOOSE($A$2,'R1'!O16,'R2'!O16,'R3'!O16,'R4'!O16))</f>
        <v>黃筱涵</v>
      </c>
      <c r="F22" s="107">
        <f t="shared" si="11"/>
        <v>0.40416666666666679</v>
      </c>
      <c r="G22" s="108">
        <f t="shared" ref="G22:O22" si="15">IF($B22="","",F22+G$3*100/60/24)</f>
        <v>0.41388888888888903</v>
      </c>
      <c r="H22" s="106">
        <f t="shared" si="15"/>
        <v>0.42222222222222239</v>
      </c>
      <c r="I22" s="107">
        <f t="shared" si="15"/>
        <v>0.43194444444444463</v>
      </c>
      <c r="J22" s="108">
        <f t="shared" si="15"/>
        <v>0.44027777777777799</v>
      </c>
      <c r="K22" s="106">
        <f t="shared" si="15"/>
        <v>0.45069444444444468</v>
      </c>
      <c r="L22" s="107">
        <f t="shared" si="15"/>
        <v>0.46250000000000024</v>
      </c>
      <c r="M22" s="108">
        <f t="shared" si="15"/>
        <v>0.47222222222222249</v>
      </c>
      <c r="N22" s="106">
        <f t="shared" si="15"/>
        <v>0.48263888888888917</v>
      </c>
      <c r="O22" s="107">
        <f t="shared" si="15"/>
        <v>0.49513888888888918</v>
      </c>
      <c r="AB22" t="str">
        <f>CHOOSE($A$2,'R1'!P14,'R2'!P14,'R3'!P14,'R4'!P14)</f>
        <v>ROC</v>
      </c>
      <c r="AC22" t="str">
        <f>CHOOSE($A$2,'R1'!P15,'R2'!P15,'R3'!P15,'R4'!P15)</f>
        <v>MAS</v>
      </c>
      <c r="AD22" t="str">
        <f>CHOOSE($A$2,'R1'!P16,'R2'!P16,'R3'!P16,'R4'!P16)</f>
        <v>ROC</v>
      </c>
    </row>
    <row r="23" spans="1:30" x14ac:dyDescent="0.25">
      <c r="A23" s="190"/>
      <c r="B23" s="109">
        <f t="shared" si="2"/>
        <v>10</v>
      </c>
      <c r="C23" s="110" t="str">
        <f>IF(AB23="ROC",RIGHT(CHOOSE($A$2,'R1'!O17,'R2'!O17,'R3'!O17,'R4'!O17),3),CHOOSE($A$2,'R1'!O17,'R2'!O17,'R3'!O17,'R4'!O17))</f>
        <v>Isabella Leung</v>
      </c>
      <c r="D23" s="111" t="str">
        <f>IF(AC23="ROC",RIGHT(CHOOSE($A$2,'R1'!O18,'R2'!O18,'R3'!O18,'R4'!O18),3),CHOOSE($A$2,'R1'!O18,'R2'!O18,'R3'!O18,'R4'!O18))</f>
        <v xml:space="preserve">in </v>
      </c>
      <c r="E23" s="112" t="str">
        <f>IF(AD23="ROC",RIGHT(CHOOSE($A$2,'R1'!O19,'R2'!O19,'R3'!O19,'R4'!O19),3),CHOOSE($A$2,'R1'!O19,'R2'!O19,'R3'!O19,'R4'!O19))</f>
        <v>Mimi Ho</v>
      </c>
      <c r="F23" s="114">
        <f t="shared" si="11"/>
        <v>0.41041666666666676</v>
      </c>
      <c r="G23" s="115">
        <f t="shared" ref="G23:O23" si="16">IF($B23="","",F23+G$3*100/60/24)</f>
        <v>0.42013888888888901</v>
      </c>
      <c r="H23" s="113">
        <f t="shared" si="16"/>
        <v>0.42847222222222237</v>
      </c>
      <c r="I23" s="114">
        <f t="shared" si="16"/>
        <v>0.43819444444444461</v>
      </c>
      <c r="J23" s="115">
        <f t="shared" si="16"/>
        <v>0.44652777777777797</v>
      </c>
      <c r="K23" s="113">
        <f t="shared" si="16"/>
        <v>0.45694444444444465</v>
      </c>
      <c r="L23" s="114">
        <f t="shared" si="16"/>
        <v>0.46875000000000022</v>
      </c>
      <c r="M23" s="115">
        <f t="shared" si="16"/>
        <v>0.47847222222222247</v>
      </c>
      <c r="N23" s="113">
        <f t="shared" si="16"/>
        <v>0.48888888888888915</v>
      </c>
      <c r="O23" s="114">
        <f t="shared" si="16"/>
        <v>0.50138888888888911</v>
      </c>
      <c r="AB23" t="str">
        <f>CHOOSE($A$2,'R1'!P17,'R2'!P17,'R3'!P17,'R4'!P17)</f>
        <v>HKG</v>
      </c>
      <c r="AC23" t="str">
        <f>CHOOSE($A$2,'R1'!P18,'R2'!P18,'R3'!P18,'R4'!P8)</f>
        <v>ROC</v>
      </c>
      <c r="AD23" t="str">
        <f>CHOOSE($A$2,'R1'!P19,'R2'!P19,'R3'!P19,'R4'!P19)</f>
        <v>HKG</v>
      </c>
    </row>
    <row r="24" spans="1:30" x14ac:dyDescent="0.25">
      <c r="A24" s="190"/>
      <c r="B24" s="116">
        <f t="shared" si="2"/>
        <v>12</v>
      </c>
      <c r="C24" s="117" t="str">
        <f>IF(AB24="ROC",RIGHT(CHOOSE($A$2,'R1'!O20,'R2'!O20,'R3'!O20,'R4'!O20),3),CHOOSE($A$2,'R1'!O20,'R2'!O20,'R3'!O20,'R4'!O20))</f>
        <v>林冠妤</v>
      </c>
      <c r="D24" s="118" t="str">
        <f>IF(AC24="ROC",RIGHT(CHOOSE($A$2,'R1'!O21,'R2'!O21,'R3'!O21,'R4'!O21),3),CHOOSE($A$2,'R1'!O21,'R2'!O21,'R3'!O21,'R4'!O21))</f>
        <v>陳靜慈</v>
      </c>
      <c r="E24" s="119" t="str">
        <f>IF(AD24="ROC",RIGHT(CHOOSE($A$2,'R1'!O22,'R2'!O22,'R3'!O22,'R4'!O22),3),CHOOSE($A$2,'R1'!O22,'R2'!O22,'R3'!O22,'R4'!O22))</f>
        <v>Ashley Lau Jen Wen</v>
      </c>
      <c r="F24" s="121">
        <f t="shared" si="11"/>
        <v>0.41666666666666674</v>
      </c>
      <c r="G24" s="122">
        <f t="shared" ref="G24:O24" si="17">IF($B24="","",F24+G$3*100/60/24)</f>
        <v>0.42638888888888898</v>
      </c>
      <c r="H24" s="120">
        <f t="shared" si="17"/>
        <v>0.43472222222222234</v>
      </c>
      <c r="I24" s="121">
        <f t="shared" si="17"/>
        <v>0.44444444444444459</v>
      </c>
      <c r="J24" s="122">
        <f t="shared" si="17"/>
        <v>0.45277777777777795</v>
      </c>
      <c r="K24" s="120">
        <f t="shared" si="17"/>
        <v>0.46319444444444463</v>
      </c>
      <c r="L24" s="121">
        <f t="shared" si="17"/>
        <v>0.4750000000000002</v>
      </c>
      <c r="M24" s="122">
        <f t="shared" si="17"/>
        <v>0.48472222222222244</v>
      </c>
      <c r="N24" s="120">
        <f t="shared" si="17"/>
        <v>0.49513888888888913</v>
      </c>
      <c r="O24" s="121">
        <f t="shared" si="17"/>
        <v>0.50763888888888908</v>
      </c>
      <c r="AB24" t="str">
        <f>CHOOSE($A$2,'R1'!P20,'R2'!P20,'R3'!P20,'R4'!P20)</f>
        <v>ROC</v>
      </c>
      <c r="AC24" t="str">
        <f>CHOOSE($A$2,'R1'!P21,'R2'!P21,'R3'!P21,'R4'!P21)</f>
        <v>ROC</v>
      </c>
      <c r="AD24" t="str">
        <f>CHOOSE($A$2,'R1'!P22,'R2'!P22,'R3'!P22,'R4'!P22)</f>
        <v>MAS</v>
      </c>
    </row>
    <row r="25" spans="1:30" x14ac:dyDescent="0.25">
      <c r="A25" s="190"/>
      <c r="B25" s="102">
        <f t="shared" si="2"/>
        <v>14</v>
      </c>
      <c r="C25" s="123" t="str">
        <f>IF(AB25="ROC",RIGHT(CHOOSE($A$2,'R1'!O23,'R2'!O23,'R3'!O23,'R4'!O23),3),CHOOSE($A$2,'R1'!O23,'R2'!O23,'R3'!O23,'R4'!O23))</f>
        <v>Suthavee Chanachai</v>
      </c>
      <c r="D25" s="124" t="str">
        <f>IF(AC25="ROC",RIGHT(CHOOSE($A$2,'R1'!O24,'R2'!O24,'R3'!O24,'R4'!O24),3),CHOOSE($A$2,'R1'!O24,'R2'!O24,'R3'!O24,'R4'!O24))</f>
        <v>蔡欣恩</v>
      </c>
      <c r="E25" s="125" t="str">
        <f>IF(AD25="ROC",RIGHT(CHOOSE($A$2,'R1'!O25,'R2'!O25,'R3'!O25,'R4'!O25),3),CHOOSE($A$2,'R1'!O25,'R2'!O25,'R3'!O25,'R4'!O25))</f>
        <v>王薏涵</v>
      </c>
      <c r="F25" s="107">
        <f t="shared" si="11"/>
        <v>0.42291666666666672</v>
      </c>
      <c r="G25" s="108">
        <f t="shared" ref="G25:O25" si="18">IF($B25="","",F25+G$3*100/60/24)</f>
        <v>0.43263888888888896</v>
      </c>
      <c r="H25" s="106">
        <f t="shared" si="18"/>
        <v>0.44097222222222232</v>
      </c>
      <c r="I25" s="107">
        <f t="shared" si="18"/>
        <v>0.45069444444444456</v>
      </c>
      <c r="J25" s="108">
        <f t="shared" si="18"/>
        <v>0.45902777777777792</v>
      </c>
      <c r="K25" s="106">
        <f t="shared" si="18"/>
        <v>0.46944444444444461</v>
      </c>
      <c r="L25" s="107">
        <f t="shared" si="18"/>
        <v>0.48125000000000018</v>
      </c>
      <c r="M25" s="108">
        <f t="shared" si="18"/>
        <v>0.49097222222222242</v>
      </c>
      <c r="N25" s="106">
        <f t="shared" si="18"/>
        <v>0.50138888888888911</v>
      </c>
      <c r="O25" s="107">
        <f t="shared" si="18"/>
        <v>0.51388888888888906</v>
      </c>
      <c r="AB25" t="str">
        <f>CHOOSE($A$2,'R1'!P23,'R2'!P23,'R3'!P23,'R4'!P23)</f>
        <v>THA</v>
      </c>
      <c r="AC25" t="str">
        <f>CHOOSE($A$2,'R1'!P24,'R2'!P24,'R3'!P24,'R4'!P24)</f>
        <v>ROC</v>
      </c>
      <c r="AD25" t="str">
        <f>CHOOSE($A$2,'R1'!P25,'R2'!P25,'R3'!P25,'R4'!P25)</f>
        <v>ROC</v>
      </c>
    </row>
    <row r="26" spans="1:30" x14ac:dyDescent="0.25">
      <c r="A26" s="190"/>
      <c r="B26" s="109">
        <f t="shared" si="2"/>
        <v>16</v>
      </c>
      <c r="C26" s="110" t="str">
        <f>IF(AB26="ROC",RIGHT(CHOOSE($A$2,'R1'!O26,'R2'!O26,'R3'!O26,'R4'!O26),3),CHOOSE($A$2,'R1'!O26,'R2'!O26,'R3'!O26,'R4'!O26))</f>
        <v>洪若華</v>
      </c>
      <c r="D26" s="111" t="str">
        <f>IF(AC26="ROC",RIGHT(CHOOSE($A$2,'R1'!O27,'R2'!O27,'R3'!O27,'R4'!O27),3),CHOOSE($A$2,'R1'!O27,'R2'!O27,'R3'!O27,'R4'!O27))</f>
        <v>林婕恩</v>
      </c>
      <c r="E26" s="112" t="str">
        <f>IF(AD26="ROC",RIGHT(CHOOSE($A$2,'R1'!O28,'R2'!O28,'R3'!O28,'R4'!O28),3),CHOOSE($A$2,'R1'!O28,'R2'!O28,'R3'!O28,'R4'!O28))</f>
        <v>Pimnipa Panthong</v>
      </c>
      <c r="F26" s="114">
        <f t="shared" si="11"/>
        <v>0.4291666666666667</v>
      </c>
      <c r="G26" s="115">
        <f t="shared" ref="G26:O26" si="19">IF($B26="","",F26+G$3*100/60/24)</f>
        <v>0.43888888888888894</v>
      </c>
      <c r="H26" s="113">
        <f t="shared" si="19"/>
        <v>0.4472222222222223</v>
      </c>
      <c r="I26" s="114">
        <f t="shared" si="19"/>
        <v>0.45694444444444454</v>
      </c>
      <c r="J26" s="115">
        <f t="shared" si="19"/>
        <v>0.4652777777777779</v>
      </c>
      <c r="K26" s="113">
        <f t="shared" si="19"/>
        <v>0.47569444444444459</v>
      </c>
      <c r="L26" s="114">
        <f t="shared" si="19"/>
        <v>0.48750000000000016</v>
      </c>
      <c r="M26" s="115">
        <f t="shared" si="19"/>
        <v>0.4972222222222224</v>
      </c>
      <c r="N26" s="113">
        <f t="shared" si="19"/>
        <v>0.50763888888888908</v>
      </c>
      <c r="O26" s="114">
        <f t="shared" si="19"/>
        <v>0.52013888888888904</v>
      </c>
      <c r="AB26" t="str">
        <f>CHOOSE($A$2,'R1'!P26,'R2'!P26,'R3'!P26,'R4'!P26)</f>
        <v>ROC</v>
      </c>
      <c r="AC26" t="str">
        <f>CHOOSE($A$2,'R1'!P27,'R2'!P27,'R3'!P27,'R4'!P27)</f>
        <v>ROC</v>
      </c>
      <c r="AD26" t="str">
        <f>CHOOSE($A$2,'R1'!P28,'R2'!P28,'R3'!P28,'R4'!P28)</f>
        <v>THA</v>
      </c>
    </row>
    <row r="27" spans="1:30" x14ac:dyDescent="0.25">
      <c r="A27" s="190"/>
      <c r="B27" s="116"/>
      <c r="C27" s="117" t="str">
        <f>IF(AB27="ROC",RIGHT(CHOOSE($A$2,'R1'!O29,'R2'!O29,'R3'!O29,'R4'!O29),3),CHOOSE($A$2,'R1'!O29,'R2'!O29,'R3'!O29,'R4'!O29))</f>
        <v/>
      </c>
      <c r="D27" s="118" t="str">
        <f>IF(AC27="ROC",RIGHT(CHOOSE($A$2,'R1'!O30,'R2'!O30,'R3'!O30,'R4'!O30),3),CHOOSE($A$2,'R1'!O30,'R2'!O30,'R3'!O30,'R4'!O30))</f>
        <v/>
      </c>
      <c r="E27" s="119" t="str">
        <f>IF(AD27="ROC",RIGHT(CHOOSE($A$2,'R1'!O31,'R2'!O31,'R3'!O31,'R4'!O31),3),CHOOSE($A$2,'R1'!O31,'R2'!O31,'R3'!O31,'R4'!O31))</f>
        <v/>
      </c>
      <c r="F27" s="121" t="str">
        <f t="shared" si="11"/>
        <v/>
      </c>
      <c r="G27" s="122" t="str">
        <f t="shared" ref="G27:O27" si="20">IF($B27="","",F27+G$3*100/60/24)</f>
        <v/>
      </c>
      <c r="H27" s="120" t="str">
        <f t="shared" si="20"/>
        <v/>
      </c>
      <c r="I27" s="121" t="str">
        <f t="shared" si="20"/>
        <v/>
      </c>
      <c r="J27" s="122" t="str">
        <f t="shared" si="20"/>
        <v/>
      </c>
      <c r="K27" s="120" t="str">
        <f t="shared" si="20"/>
        <v/>
      </c>
      <c r="L27" s="121" t="str">
        <f t="shared" si="20"/>
        <v/>
      </c>
      <c r="M27" s="122" t="str">
        <f t="shared" si="20"/>
        <v/>
      </c>
      <c r="N27" s="120" t="str">
        <f t="shared" si="20"/>
        <v/>
      </c>
      <c r="O27" s="121" t="str">
        <f t="shared" si="20"/>
        <v/>
      </c>
      <c r="AB27" t="str">
        <f>CHOOSE($A$2,'R1'!P29,'R2'!P29,'R3'!P29,'R4'!P29)</f>
        <v/>
      </c>
      <c r="AC27" t="str">
        <f>CHOOSE($A$2,'R1'!P30,'R2'!P30,'R3'!P30,'R4'!P30)</f>
        <v/>
      </c>
      <c r="AD27" t="str">
        <f>CHOOSE($A$2,'R1'!P31,'R2'!P31,'R3'!P31,'R4'!P31)</f>
        <v/>
      </c>
    </row>
    <row r="28" spans="1:30" x14ac:dyDescent="0.25">
      <c r="A28" s="190"/>
      <c r="B28" s="102"/>
      <c r="C28" s="123"/>
      <c r="D28" s="124"/>
      <c r="E28" s="125"/>
      <c r="F28" s="107"/>
      <c r="G28" s="108"/>
      <c r="H28" s="106"/>
      <c r="I28" s="107"/>
      <c r="J28" s="108"/>
      <c r="K28" s="106"/>
      <c r="L28" s="107"/>
      <c r="M28" s="108"/>
      <c r="N28" s="106"/>
      <c r="O28" s="107"/>
      <c r="AB28" t="str">
        <f>CHOOSE($A$2,'R1'!P32,'R2'!P32,'R3'!#REF!,'R4'!P32)</f>
        <v/>
      </c>
      <c r="AC28" t="str">
        <f>CHOOSE($A$2,'R1'!P33,'R2'!P33,'R3'!#REF!,'R4'!P33)</f>
        <v/>
      </c>
      <c r="AD28" t="e">
        <f>CHOOSE($A$2,'R1'!P34,'R2'!P34,'R3'!#REF!,'R4'!#REF!)</f>
        <v>#REF!</v>
      </c>
    </row>
    <row r="29" spans="1:30" x14ac:dyDescent="0.25">
      <c r="A29" s="190"/>
      <c r="B29" s="109"/>
      <c r="C29" s="110"/>
      <c r="D29" s="111"/>
      <c r="E29" s="112"/>
      <c r="F29" s="114"/>
      <c r="G29" s="115"/>
      <c r="H29" s="113"/>
      <c r="I29" s="114"/>
      <c r="J29" s="115"/>
      <c r="K29" s="113"/>
      <c r="L29" s="114"/>
      <c r="M29" s="115"/>
      <c r="N29" s="113"/>
      <c r="O29" s="114"/>
      <c r="AB29" t="e">
        <f>CHOOSE($A$2,'R1'!P35,'R2'!P35,'R3'!#REF!,'R4'!#REF!)</f>
        <v>#REF!</v>
      </c>
      <c r="AC29" t="e">
        <f>CHOOSE($A$2,'R1'!P36,'R2'!P36,'R3'!#REF!,'R4'!#REF!)</f>
        <v>#REF!</v>
      </c>
      <c r="AD29" t="e">
        <f>CHOOSE($A$2,'R1'!P37,'R2'!P37,'R3'!#REF!,'R4'!#REF!)</f>
        <v>#REF!</v>
      </c>
    </row>
    <row r="30" spans="1:30" x14ac:dyDescent="0.25">
      <c r="A30" s="190"/>
      <c r="B30" s="116"/>
      <c r="C30" s="117"/>
      <c r="D30" s="118"/>
      <c r="E30" s="119"/>
      <c r="F30" s="121"/>
      <c r="G30" s="122"/>
      <c r="H30" s="120"/>
      <c r="I30" s="121"/>
      <c r="J30" s="122"/>
      <c r="K30" s="120"/>
      <c r="L30" s="121"/>
      <c r="M30" s="122"/>
      <c r="N30" s="120"/>
      <c r="O30" s="121"/>
      <c r="AB30" t="e">
        <f>CHOOSE($A$2,'R1'!P38,'R2'!P38,'R3'!#REF!,'R4'!#REF!)</f>
        <v>#REF!</v>
      </c>
      <c r="AC30" t="e">
        <f>CHOOSE($A$2,'R1'!P39,'R2'!P39,'R3'!#REF!,'R4'!#REF!)</f>
        <v>#REF!</v>
      </c>
      <c r="AD30" t="e">
        <f>CHOOSE($A$2,'R1'!P40,'R2'!P40,'R3'!#REF!,'R4'!#REF!)</f>
        <v>#REF!</v>
      </c>
    </row>
    <row r="31" spans="1:30" x14ac:dyDescent="0.25">
      <c r="A31" s="190"/>
      <c r="B31" s="102"/>
      <c r="C31" s="123"/>
      <c r="D31" s="124"/>
      <c r="E31" s="125"/>
      <c r="F31" s="107"/>
      <c r="G31" s="108"/>
      <c r="H31" s="106"/>
      <c r="I31" s="107"/>
      <c r="J31" s="108"/>
      <c r="K31" s="106"/>
      <c r="L31" s="107"/>
      <c r="M31" s="108"/>
      <c r="N31" s="106"/>
      <c r="O31" s="107"/>
      <c r="AB31" t="e">
        <f>CHOOSE($A$2,'R1'!P41,'R2'!P41,'R3'!#REF!,'R4'!#REF!)</f>
        <v>#REF!</v>
      </c>
      <c r="AC31" t="e">
        <f>CHOOSE($A$2,'R1'!P42,'R2'!P42,'R3'!#REF!,'R4'!#REF!)</f>
        <v>#REF!</v>
      </c>
      <c r="AD31" t="e">
        <f>CHOOSE($A$2,'R1'!P43,'R2'!P43,'R3'!#REF!,'R4'!#REF!)</f>
        <v>#REF!</v>
      </c>
    </row>
    <row r="32" spans="1:30" x14ac:dyDescent="0.25">
      <c r="A32" s="190"/>
      <c r="B32" s="109"/>
      <c r="C32" s="110"/>
      <c r="D32" s="111"/>
      <c r="E32" s="112"/>
      <c r="F32" s="114"/>
      <c r="G32" s="115"/>
      <c r="H32" s="113"/>
      <c r="I32" s="114"/>
      <c r="J32" s="115"/>
      <c r="K32" s="113"/>
      <c r="L32" s="114"/>
      <c r="M32" s="115"/>
      <c r="N32" s="113"/>
      <c r="O32" s="114"/>
      <c r="AB32" t="e">
        <f>CHOOSE($A$2,'R1'!P44,'R2'!P44,'R3'!#REF!,'R4'!#REF!)</f>
        <v>#REF!</v>
      </c>
      <c r="AC32" t="e">
        <f>CHOOSE($A$2,'R1'!P45,'R2'!P45,'R3'!#REF!,'R4'!#REF!)</f>
        <v>#REF!</v>
      </c>
      <c r="AD32" t="e">
        <f>CHOOSE($A$2,'R1'!P46,'R2'!P46,'R3'!#REF!,'R4'!#REF!)</f>
        <v>#REF!</v>
      </c>
    </row>
    <row r="33" spans="1:30" x14ac:dyDescent="0.25">
      <c r="A33" s="190"/>
      <c r="B33" s="116"/>
      <c r="C33" s="126"/>
      <c r="D33" s="127"/>
      <c r="E33" s="128"/>
      <c r="F33" s="121"/>
      <c r="G33" s="122"/>
      <c r="H33" s="120"/>
      <c r="I33" s="121"/>
      <c r="J33" s="122"/>
      <c r="K33" s="120"/>
      <c r="L33" s="121"/>
      <c r="M33" s="122"/>
      <c r="N33" s="120"/>
      <c r="O33" s="121"/>
      <c r="AB33" t="e">
        <f>CHOOSE($A$2,'R1'!P47,'R2'!P47,'R3'!P32,'R4'!#REF!)</f>
        <v>#REF!</v>
      </c>
      <c r="AC33" t="e">
        <f>CHOOSE($A$2,'R1'!P48,'R2'!P48,'R3'!P33,'R4'!#REF!)</f>
        <v>#REF!</v>
      </c>
      <c r="AD33" t="str">
        <f>CHOOSE($A$2,'R1'!P49,'R2'!P49,'R3'!P34,'R4'!P34)</f>
        <v/>
      </c>
    </row>
    <row r="34" spans="1:30" x14ac:dyDescent="0.25">
      <c r="A34" s="186" t="str">
        <f>A1</f>
        <v>2015年台灣業餘高爾夫錦標賽</v>
      </c>
      <c r="B34" s="186"/>
      <c r="C34" s="186"/>
      <c r="D34" s="186"/>
      <c r="E34" s="186"/>
      <c r="F34" s="97" t="s">
        <v>49</v>
      </c>
      <c r="G34" s="97">
        <v>10</v>
      </c>
      <c r="H34" s="97">
        <v>11</v>
      </c>
      <c r="I34" s="97">
        <v>12</v>
      </c>
      <c r="J34" s="97">
        <v>13</v>
      </c>
      <c r="K34" s="97">
        <v>14</v>
      </c>
      <c r="L34" s="97">
        <v>15</v>
      </c>
      <c r="M34" s="97">
        <v>16</v>
      </c>
      <c r="N34" s="97">
        <v>17</v>
      </c>
      <c r="O34" s="97">
        <v>18</v>
      </c>
    </row>
    <row r="35" spans="1:30" x14ac:dyDescent="0.25">
      <c r="A35" s="188">
        <f>A2</f>
        <v>4</v>
      </c>
      <c r="B35" s="188"/>
      <c r="C35" s="188"/>
      <c r="D35" s="129"/>
      <c r="E35" s="137">
        <f>E2</f>
        <v>42181</v>
      </c>
      <c r="F35" s="97" t="s">
        <v>50</v>
      </c>
      <c r="G35" s="99">
        <v>4</v>
      </c>
      <c r="H35" s="97">
        <v>3</v>
      </c>
      <c r="I35" s="97">
        <v>4</v>
      </c>
      <c r="J35" s="97">
        <v>5</v>
      </c>
      <c r="K35" s="97">
        <v>4</v>
      </c>
      <c r="L35" s="97">
        <v>4</v>
      </c>
      <c r="M35" s="97">
        <v>3</v>
      </c>
      <c r="N35" s="97">
        <v>4</v>
      </c>
      <c r="O35" s="97">
        <v>5</v>
      </c>
    </row>
    <row r="36" spans="1:30" x14ac:dyDescent="0.25">
      <c r="A36" s="191" t="str">
        <f>A3</f>
        <v>揚昇高爾夫鄉村俱樂部</v>
      </c>
      <c r="B36" s="191"/>
      <c r="C36" s="191"/>
      <c r="D36" s="191"/>
      <c r="E36" s="191"/>
      <c r="F36" s="100">
        <v>10</v>
      </c>
      <c r="G36" s="101">
        <f>CHOOSE(G35-2,0.12,0.15,0.18)-0.01</f>
        <v>0.13999999999999999</v>
      </c>
      <c r="H36" s="101">
        <f t="shared" ref="H36" si="21">CHOOSE(H35-2,0.12,0.15,0.18)</f>
        <v>0.12</v>
      </c>
      <c r="I36" s="101">
        <f t="shared" ref="I36" si="22">CHOOSE(I35-2,0.12,0.15,0.18)</f>
        <v>0.15</v>
      </c>
      <c r="J36" s="101">
        <f>CHOOSE(J35-2,0.12,0.15,0.18)-0.01</f>
        <v>0.16999999999999998</v>
      </c>
      <c r="K36" s="101">
        <f>CHOOSE(K35-2,0.12,0.15,0.18)-0.01</f>
        <v>0.13999999999999999</v>
      </c>
      <c r="L36" s="101">
        <f>CHOOSE(L35-2,0.12,0.15,0.18)-0.01</f>
        <v>0.13999999999999999</v>
      </c>
      <c r="M36" s="101">
        <f t="shared" ref="M36" si="23">CHOOSE(M35-2,0.12,0.15,0.18)</f>
        <v>0.12</v>
      </c>
      <c r="N36" s="101">
        <f t="shared" ref="N36" si="24">CHOOSE(N35-2,0.12,0.15,0.18)</f>
        <v>0.15</v>
      </c>
      <c r="O36" s="101">
        <f>CHOOSE(O35-2,0.12,0.15,0.18)-0.01</f>
        <v>0.16999999999999998</v>
      </c>
    </row>
    <row r="37" spans="1:30" x14ac:dyDescent="0.25">
      <c r="A37" s="190" t="s">
        <v>52</v>
      </c>
      <c r="B37" s="130">
        <f t="shared" ref="B37:B51" si="25">B19</f>
        <v>2</v>
      </c>
      <c r="C37" s="124" t="str">
        <f t="shared" ref="C37:E51" si="26">C19</f>
        <v xml:space="preserve">Kaito Kitazoe </v>
      </c>
      <c r="D37" s="124" t="str">
        <f t="shared" si="26"/>
        <v>張修齊</v>
      </c>
      <c r="E37" s="131" t="str">
        <f t="shared" si="26"/>
        <v>黃議增</v>
      </c>
      <c r="F37" s="107">
        <f>IF(B37="","",basic!$A$2)</f>
        <v>0.29166666666666669</v>
      </c>
      <c r="G37" s="108">
        <f t="shared" ref="G37:O37" si="27">IF($B37="","",F37+G$36*100/60/24)</f>
        <v>0.30138888888888893</v>
      </c>
      <c r="H37" s="106">
        <f t="shared" si="27"/>
        <v>0.30972222222222229</v>
      </c>
      <c r="I37" s="107">
        <f t="shared" si="27"/>
        <v>0.32013888888888897</v>
      </c>
      <c r="J37" s="108">
        <f t="shared" si="27"/>
        <v>0.33194444444444454</v>
      </c>
      <c r="K37" s="106">
        <f t="shared" si="27"/>
        <v>0.34166666666666679</v>
      </c>
      <c r="L37" s="107">
        <f t="shared" si="27"/>
        <v>0.35138888888888903</v>
      </c>
      <c r="M37" s="108">
        <f t="shared" si="27"/>
        <v>0.35972222222222239</v>
      </c>
      <c r="N37" s="106">
        <f t="shared" si="27"/>
        <v>0.37013888888888907</v>
      </c>
      <c r="O37" s="107">
        <f t="shared" si="27"/>
        <v>0.38194444444444464</v>
      </c>
    </row>
    <row r="38" spans="1:30" x14ac:dyDescent="0.25">
      <c r="A38" s="190"/>
      <c r="B38" s="132">
        <f t="shared" si="25"/>
        <v>4</v>
      </c>
      <c r="C38" s="111" t="str">
        <f t="shared" si="26"/>
        <v>廖崇廷</v>
      </c>
      <c r="D38" s="111" t="str">
        <f t="shared" si="26"/>
        <v>Steven Lam</v>
      </c>
      <c r="E38" s="133" t="str">
        <f t="shared" si="26"/>
        <v>邱瀚緯</v>
      </c>
      <c r="F38" s="114">
        <f>IF(B38="","",F37+basic!$A$3/60/24)</f>
        <v>0.29791666666666666</v>
      </c>
      <c r="G38" s="115">
        <f t="shared" ref="G38:O38" si="28">IF($B38="","",F38+G$36*100/60/24)</f>
        <v>0.30763888888888891</v>
      </c>
      <c r="H38" s="113">
        <f t="shared" si="28"/>
        <v>0.31597222222222227</v>
      </c>
      <c r="I38" s="114">
        <f t="shared" si="28"/>
        <v>0.32638888888888895</v>
      </c>
      <c r="J38" s="115">
        <f t="shared" si="28"/>
        <v>0.33819444444444452</v>
      </c>
      <c r="K38" s="113">
        <f t="shared" si="28"/>
        <v>0.34791666666666676</v>
      </c>
      <c r="L38" s="114">
        <f t="shared" si="28"/>
        <v>0.35763888888888901</v>
      </c>
      <c r="M38" s="115">
        <f t="shared" si="28"/>
        <v>0.36597222222222237</v>
      </c>
      <c r="N38" s="113">
        <f t="shared" si="28"/>
        <v>0.37638888888888905</v>
      </c>
      <c r="O38" s="114">
        <f t="shared" si="28"/>
        <v>0.38819444444444462</v>
      </c>
    </row>
    <row r="39" spans="1:30" x14ac:dyDescent="0.25">
      <c r="A39" s="190"/>
      <c r="B39" s="134">
        <f t="shared" si="25"/>
        <v>6</v>
      </c>
      <c r="C39" s="118" t="str">
        <f t="shared" si="26"/>
        <v>劉永華</v>
      </c>
      <c r="D39" s="118" t="str">
        <f t="shared" si="26"/>
        <v>Jan Philip de Claro</v>
      </c>
      <c r="E39" s="135" t="str">
        <f t="shared" si="26"/>
        <v>廖云瑞</v>
      </c>
      <c r="F39" s="121">
        <f>IF(B39="","",F38+basic!$A$3/60/24)</f>
        <v>0.30416666666666664</v>
      </c>
      <c r="G39" s="122">
        <f t="shared" ref="G39:O39" si="29">IF($B39="","",F39+G$36*100/60/24)</f>
        <v>0.31388888888888888</v>
      </c>
      <c r="H39" s="120">
        <f t="shared" si="29"/>
        <v>0.32222222222222224</v>
      </c>
      <c r="I39" s="121">
        <f t="shared" si="29"/>
        <v>0.33263888888888893</v>
      </c>
      <c r="J39" s="122">
        <f t="shared" si="29"/>
        <v>0.3444444444444445</v>
      </c>
      <c r="K39" s="120">
        <f t="shared" si="29"/>
        <v>0.35416666666666674</v>
      </c>
      <c r="L39" s="121">
        <f t="shared" si="29"/>
        <v>0.36388888888888898</v>
      </c>
      <c r="M39" s="122">
        <f t="shared" si="29"/>
        <v>0.37222222222222234</v>
      </c>
      <c r="N39" s="120">
        <f t="shared" si="29"/>
        <v>0.38263888888888903</v>
      </c>
      <c r="O39" s="121">
        <f t="shared" si="29"/>
        <v>0.3944444444444446</v>
      </c>
    </row>
    <row r="40" spans="1:30" x14ac:dyDescent="0.25">
      <c r="A40" s="190"/>
      <c r="B40" s="130">
        <f t="shared" si="25"/>
        <v>8</v>
      </c>
      <c r="C40" s="124" t="str">
        <f t="shared" si="26"/>
        <v>黃郁評</v>
      </c>
      <c r="D40" s="124" t="str">
        <f t="shared" si="26"/>
        <v>Winnie Ng Yu Xuan</v>
      </c>
      <c r="E40" s="131" t="str">
        <f t="shared" si="26"/>
        <v>黃筱涵</v>
      </c>
      <c r="F40" s="107">
        <f>IF(B40="","",F39+basic!$A$3/60/24)</f>
        <v>0.31041666666666662</v>
      </c>
      <c r="G40" s="108">
        <f t="shared" ref="G40:O40" si="30">IF($B40="","",F40+G$36*100/60/24)</f>
        <v>0.32013888888888886</v>
      </c>
      <c r="H40" s="106">
        <f t="shared" si="30"/>
        <v>0.32847222222222222</v>
      </c>
      <c r="I40" s="107">
        <f t="shared" si="30"/>
        <v>0.33888888888888891</v>
      </c>
      <c r="J40" s="108">
        <f t="shared" si="30"/>
        <v>0.35069444444444448</v>
      </c>
      <c r="K40" s="106">
        <f t="shared" si="30"/>
        <v>0.36041666666666672</v>
      </c>
      <c r="L40" s="107">
        <f t="shared" si="30"/>
        <v>0.37013888888888896</v>
      </c>
      <c r="M40" s="108">
        <f t="shared" si="30"/>
        <v>0.37847222222222232</v>
      </c>
      <c r="N40" s="106">
        <f t="shared" si="30"/>
        <v>0.38888888888888901</v>
      </c>
      <c r="O40" s="107">
        <f t="shared" si="30"/>
        <v>0.40069444444444458</v>
      </c>
    </row>
    <row r="41" spans="1:30" x14ac:dyDescent="0.25">
      <c r="A41" s="190"/>
      <c r="B41" s="132">
        <f t="shared" si="25"/>
        <v>10</v>
      </c>
      <c r="C41" s="111" t="str">
        <f t="shared" si="26"/>
        <v>Isabella Leung</v>
      </c>
      <c r="D41" s="111" t="str">
        <f t="shared" si="26"/>
        <v xml:space="preserve">in </v>
      </c>
      <c r="E41" s="133" t="str">
        <f t="shared" si="26"/>
        <v>Mimi Ho</v>
      </c>
      <c r="F41" s="114">
        <f>IF(B41="","",F40+basic!$A$3/60/24)</f>
        <v>0.3166666666666666</v>
      </c>
      <c r="G41" s="115">
        <f t="shared" ref="G41:O41" si="31">IF($B41="","",F41+G$36*100/60/24)</f>
        <v>0.32638888888888884</v>
      </c>
      <c r="H41" s="113">
        <f t="shared" si="31"/>
        <v>0.3347222222222222</v>
      </c>
      <c r="I41" s="114">
        <f t="shared" si="31"/>
        <v>0.34513888888888888</v>
      </c>
      <c r="J41" s="115">
        <f t="shared" si="31"/>
        <v>0.35694444444444445</v>
      </c>
      <c r="K41" s="113">
        <f t="shared" si="31"/>
        <v>0.3666666666666667</v>
      </c>
      <c r="L41" s="114">
        <f t="shared" si="31"/>
        <v>0.37638888888888894</v>
      </c>
      <c r="M41" s="115">
        <f t="shared" si="31"/>
        <v>0.3847222222222223</v>
      </c>
      <c r="N41" s="113">
        <f t="shared" si="31"/>
        <v>0.39513888888888898</v>
      </c>
      <c r="O41" s="114">
        <f t="shared" si="31"/>
        <v>0.40694444444444455</v>
      </c>
    </row>
    <row r="42" spans="1:30" x14ac:dyDescent="0.25">
      <c r="A42" s="190"/>
      <c r="B42" s="134">
        <f t="shared" si="25"/>
        <v>12</v>
      </c>
      <c r="C42" s="118" t="str">
        <f t="shared" si="26"/>
        <v>林冠妤</v>
      </c>
      <c r="D42" s="118" t="str">
        <f t="shared" si="26"/>
        <v>陳靜慈</v>
      </c>
      <c r="E42" s="135" t="str">
        <f t="shared" si="26"/>
        <v>Ashley Lau Jen Wen</v>
      </c>
      <c r="F42" s="121">
        <f>IF(B42="","",F41+basic!$A$3/60/24)</f>
        <v>0.32291666666666657</v>
      </c>
      <c r="G42" s="122">
        <f t="shared" ref="G42:O42" si="32">IF($B42="","",F42+G$36*100/60/24)</f>
        <v>0.33263888888888882</v>
      </c>
      <c r="H42" s="120">
        <f t="shared" si="32"/>
        <v>0.34097222222222218</v>
      </c>
      <c r="I42" s="121">
        <f t="shared" si="32"/>
        <v>0.35138888888888886</v>
      </c>
      <c r="J42" s="122">
        <f t="shared" si="32"/>
        <v>0.36319444444444443</v>
      </c>
      <c r="K42" s="120">
        <f t="shared" si="32"/>
        <v>0.37291666666666667</v>
      </c>
      <c r="L42" s="121">
        <f t="shared" si="32"/>
        <v>0.38263888888888892</v>
      </c>
      <c r="M42" s="122">
        <f t="shared" si="32"/>
        <v>0.39097222222222228</v>
      </c>
      <c r="N42" s="120">
        <f t="shared" si="32"/>
        <v>0.40138888888888896</v>
      </c>
      <c r="O42" s="121">
        <f t="shared" si="32"/>
        <v>0.41319444444444453</v>
      </c>
    </row>
    <row r="43" spans="1:30" x14ac:dyDescent="0.25">
      <c r="A43" s="190"/>
      <c r="B43" s="130">
        <f t="shared" si="25"/>
        <v>14</v>
      </c>
      <c r="C43" s="124" t="str">
        <f t="shared" si="26"/>
        <v>Suthavee Chanachai</v>
      </c>
      <c r="D43" s="124" t="str">
        <f t="shared" si="26"/>
        <v>蔡欣恩</v>
      </c>
      <c r="E43" s="131" t="str">
        <f t="shared" si="26"/>
        <v>王薏涵</v>
      </c>
      <c r="F43" s="107">
        <f>IF(B43="","",F42+basic!$A$3/60/24)</f>
        <v>0.32916666666666655</v>
      </c>
      <c r="G43" s="108">
        <f t="shared" ref="G43:O43" si="33">IF($B43="","",F43+G$36*100/60/24)</f>
        <v>0.3388888888888888</v>
      </c>
      <c r="H43" s="106">
        <f t="shared" si="33"/>
        <v>0.34722222222222215</v>
      </c>
      <c r="I43" s="107">
        <f t="shared" si="33"/>
        <v>0.35763888888888884</v>
      </c>
      <c r="J43" s="108">
        <f t="shared" si="33"/>
        <v>0.36944444444444441</v>
      </c>
      <c r="K43" s="106">
        <f t="shared" si="33"/>
        <v>0.37916666666666665</v>
      </c>
      <c r="L43" s="107">
        <f t="shared" si="33"/>
        <v>0.3888888888888889</v>
      </c>
      <c r="M43" s="108">
        <f t="shared" si="33"/>
        <v>0.39722222222222225</v>
      </c>
      <c r="N43" s="106">
        <f t="shared" si="33"/>
        <v>0.40763888888888894</v>
      </c>
      <c r="O43" s="107">
        <f t="shared" si="33"/>
        <v>0.41944444444444451</v>
      </c>
    </row>
    <row r="44" spans="1:30" x14ac:dyDescent="0.25">
      <c r="A44" s="190"/>
      <c r="B44" s="132">
        <f t="shared" si="25"/>
        <v>16</v>
      </c>
      <c r="C44" s="111" t="str">
        <f t="shared" si="26"/>
        <v>洪若華</v>
      </c>
      <c r="D44" s="111" t="str">
        <f t="shared" si="26"/>
        <v>林婕恩</v>
      </c>
      <c r="E44" s="133" t="str">
        <f t="shared" si="26"/>
        <v>Pimnipa Panthong</v>
      </c>
      <c r="F44" s="114">
        <f>IF(B44="","",F43+basic!$A$3/60/24)</f>
        <v>0.33541666666666653</v>
      </c>
      <c r="G44" s="115">
        <f t="shared" ref="G44:O44" si="34">IF($B44="","",F44+G$36*100/60/24)</f>
        <v>0.34513888888888877</v>
      </c>
      <c r="H44" s="113">
        <f t="shared" si="34"/>
        <v>0.35347222222222213</v>
      </c>
      <c r="I44" s="114">
        <f t="shared" si="34"/>
        <v>0.36388888888888882</v>
      </c>
      <c r="J44" s="115">
        <f t="shared" si="34"/>
        <v>0.37569444444444439</v>
      </c>
      <c r="K44" s="113">
        <f t="shared" si="34"/>
        <v>0.38541666666666663</v>
      </c>
      <c r="L44" s="114">
        <f t="shared" si="34"/>
        <v>0.39513888888888887</v>
      </c>
      <c r="M44" s="115">
        <f t="shared" si="34"/>
        <v>0.40347222222222223</v>
      </c>
      <c r="N44" s="113">
        <f t="shared" si="34"/>
        <v>0.41388888888888892</v>
      </c>
      <c r="O44" s="114">
        <f t="shared" si="34"/>
        <v>0.42569444444444449</v>
      </c>
    </row>
    <row r="45" spans="1:30" x14ac:dyDescent="0.25">
      <c r="A45" s="190"/>
      <c r="B45" s="134">
        <f t="shared" si="25"/>
        <v>0</v>
      </c>
      <c r="C45" s="118" t="str">
        <f t="shared" si="26"/>
        <v/>
      </c>
      <c r="D45" s="118" t="str">
        <f t="shared" si="26"/>
        <v/>
      </c>
      <c r="E45" s="135" t="str">
        <f t="shared" si="26"/>
        <v/>
      </c>
      <c r="F45" s="121">
        <f>IF(B45="","",F44+basic!$A$3/60/24)</f>
        <v>0.34166666666666651</v>
      </c>
      <c r="G45" s="122">
        <f t="shared" ref="G45:O45" si="35">IF($B45="","",F45+G$36*100/60/24)</f>
        <v>0.35138888888888875</v>
      </c>
      <c r="H45" s="120">
        <f t="shared" si="35"/>
        <v>0.35972222222222211</v>
      </c>
      <c r="I45" s="121">
        <f t="shared" si="35"/>
        <v>0.3701388888888888</v>
      </c>
      <c r="J45" s="122">
        <f t="shared" si="35"/>
        <v>0.38194444444444436</v>
      </c>
      <c r="K45" s="120">
        <f t="shared" si="35"/>
        <v>0.39166666666666661</v>
      </c>
      <c r="L45" s="121">
        <f t="shared" si="35"/>
        <v>0.40138888888888885</v>
      </c>
      <c r="M45" s="122">
        <f t="shared" si="35"/>
        <v>0.40972222222222221</v>
      </c>
      <c r="N45" s="120">
        <f t="shared" si="35"/>
        <v>0.4201388888888889</v>
      </c>
      <c r="O45" s="121">
        <f t="shared" si="35"/>
        <v>0.43194444444444446</v>
      </c>
    </row>
    <row r="46" spans="1:30" x14ac:dyDescent="0.25">
      <c r="A46" s="190"/>
      <c r="B46" s="130">
        <f t="shared" si="25"/>
        <v>0</v>
      </c>
      <c r="C46" s="124">
        <f t="shared" si="26"/>
        <v>0</v>
      </c>
      <c r="D46" s="124">
        <f t="shared" si="26"/>
        <v>0</v>
      </c>
      <c r="E46" s="131">
        <f t="shared" si="26"/>
        <v>0</v>
      </c>
      <c r="F46" s="107"/>
      <c r="G46" s="108"/>
      <c r="H46" s="106"/>
      <c r="I46" s="107"/>
      <c r="J46" s="108"/>
      <c r="K46" s="106"/>
      <c r="L46" s="107"/>
      <c r="M46" s="108"/>
      <c r="N46" s="106"/>
      <c r="O46" s="107"/>
    </row>
    <row r="47" spans="1:30" x14ac:dyDescent="0.25">
      <c r="A47" s="190"/>
      <c r="B47" s="132">
        <f t="shared" si="25"/>
        <v>0</v>
      </c>
      <c r="C47" s="111">
        <f t="shared" si="26"/>
        <v>0</v>
      </c>
      <c r="D47" s="111">
        <f t="shared" si="26"/>
        <v>0</v>
      </c>
      <c r="E47" s="133">
        <f t="shared" si="26"/>
        <v>0</v>
      </c>
      <c r="F47" s="114"/>
      <c r="G47" s="115"/>
      <c r="H47" s="113"/>
      <c r="I47" s="114"/>
      <c r="J47" s="115"/>
      <c r="K47" s="113"/>
      <c r="L47" s="114"/>
      <c r="M47" s="115"/>
      <c r="N47" s="113"/>
      <c r="O47" s="114"/>
    </row>
    <row r="48" spans="1:30" x14ac:dyDescent="0.25">
      <c r="A48" s="190"/>
      <c r="B48" s="134">
        <f t="shared" si="25"/>
        <v>0</v>
      </c>
      <c r="C48" s="118">
        <f t="shared" si="26"/>
        <v>0</v>
      </c>
      <c r="D48" s="118">
        <f t="shared" si="26"/>
        <v>0</v>
      </c>
      <c r="E48" s="135">
        <f t="shared" si="26"/>
        <v>0</v>
      </c>
      <c r="F48" s="121"/>
      <c r="G48" s="122"/>
      <c r="H48" s="120"/>
      <c r="I48" s="121"/>
      <c r="J48" s="122"/>
      <c r="K48" s="120"/>
      <c r="L48" s="121"/>
      <c r="M48" s="122"/>
      <c r="N48" s="120"/>
      <c r="O48" s="121"/>
    </row>
    <row r="49" spans="1:15" x14ac:dyDescent="0.25">
      <c r="A49" s="190"/>
      <c r="B49" s="130">
        <f t="shared" si="25"/>
        <v>0</v>
      </c>
      <c r="C49" s="124">
        <f t="shared" si="26"/>
        <v>0</v>
      </c>
      <c r="D49" s="124">
        <f t="shared" si="26"/>
        <v>0</v>
      </c>
      <c r="E49" s="131">
        <f t="shared" si="26"/>
        <v>0</v>
      </c>
      <c r="F49" s="107"/>
      <c r="G49" s="108"/>
      <c r="H49" s="106"/>
      <c r="I49" s="107"/>
      <c r="J49" s="108"/>
      <c r="K49" s="106"/>
      <c r="L49" s="107"/>
      <c r="M49" s="108"/>
      <c r="N49" s="106"/>
      <c r="O49" s="107"/>
    </row>
    <row r="50" spans="1:15" x14ac:dyDescent="0.25">
      <c r="A50" s="190"/>
      <c r="B50" s="132">
        <f t="shared" si="25"/>
        <v>0</v>
      </c>
      <c r="C50" s="111">
        <f t="shared" si="26"/>
        <v>0</v>
      </c>
      <c r="D50" s="111">
        <f t="shared" si="26"/>
        <v>0</v>
      </c>
      <c r="E50" s="133">
        <f t="shared" si="26"/>
        <v>0</v>
      </c>
      <c r="F50" s="114"/>
      <c r="G50" s="115"/>
      <c r="H50" s="113"/>
      <c r="I50" s="114"/>
      <c r="J50" s="115"/>
      <c r="K50" s="113"/>
      <c r="L50" s="114"/>
      <c r="M50" s="115"/>
      <c r="N50" s="113"/>
      <c r="O50" s="114"/>
    </row>
    <row r="51" spans="1:15" x14ac:dyDescent="0.25">
      <c r="A51" s="190"/>
      <c r="B51" s="134">
        <f t="shared" si="25"/>
        <v>0</v>
      </c>
      <c r="C51" s="118">
        <f t="shared" si="26"/>
        <v>0</v>
      </c>
      <c r="D51" s="118">
        <f t="shared" si="26"/>
        <v>0</v>
      </c>
      <c r="E51" s="135">
        <f t="shared" si="26"/>
        <v>0</v>
      </c>
      <c r="F51" s="121"/>
      <c r="G51" s="122"/>
      <c r="H51" s="120"/>
      <c r="I51" s="121"/>
      <c r="J51" s="122"/>
      <c r="K51" s="120"/>
      <c r="L51" s="121"/>
      <c r="M51" s="122"/>
      <c r="N51" s="120"/>
      <c r="O51" s="121"/>
    </row>
    <row r="52" spans="1:15" x14ac:dyDescent="0.25">
      <c r="A52" s="190" t="s">
        <v>51</v>
      </c>
      <c r="B52" s="130">
        <f t="shared" ref="B52:B60" si="36">B4</f>
        <v>1</v>
      </c>
      <c r="C52" s="124" t="str">
        <f t="shared" ref="C52:E60" si="37">C4</f>
        <v>張育僑</v>
      </c>
      <c r="D52" s="124" t="str">
        <f t="shared" si="37"/>
        <v>鍾力新</v>
      </c>
      <c r="E52" s="131" t="str">
        <f t="shared" si="37"/>
        <v/>
      </c>
      <c r="F52" s="138">
        <f t="shared" ref="F52:F60" si="38">IF(B52="","",O4+5/60/24)</f>
        <v>0.38611111111111129</v>
      </c>
      <c r="G52" s="108">
        <f t="shared" ref="G52:O52" si="39">IF($B52="","",F52+G$36*100/60/24)</f>
        <v>0.39583333333333354</v>
      </c>
      <c r="H52" s="106">
        <f t="shared" si="39"/>
        <v>0.4041666666666669</v>
      </c>
      <c r="I52" s="107">
        <f t="shared" si="39"/>
        <v>0.41458333333333358</v>
      </c>
      <c r="J52" s="108">
        <f t="shared" si="39"/>
        <v>0.42638888888888915</v>
      </c>
      <c r="K52" s="106">
        <f t="shared" si="39"/>
        <v>0.43611111111111139</v>
      </c>
      <c r="L52" s="107">
        <f t="shared" si="39"/>
        <v>0.44583333333333364</v>
      </c>
      <c r="M52" s="108">
        <f t="shared" si="39"/>
        <v>0.454166666666667</v>
      </c>
      <c r="N52" s="106">
        <f t="shared" si="39"/>
        <v>0.46458333333333368</v>
      </c>
      <c r="O52" s="107">
        <f t="shared" si="39"/>
        <v>0.47638888888888925</v>
      </c>
    </row>
    <row r="53" spans="1:15" x14ac:dyDescent="0.25">
      <c r="A53" s="190"/>
      <c r="B53" s="132">
        <f t="shared" si="36"/>
        <v>3</v>
      </c>
      <c r="C53" s="111" t="str">
        <f t="shared" si="37"/>
        <v>Tiger Lee</v>
      </c>
      <c r="D53" s="111" t="str">
        <f t="shared" si="37"/>
        <v>陳裔東</v>
      </c>
      <c r="E53" s="133" t="str">
        <f t="shared" si="37"/>
        <v>何祐誠</v>
      </c>
      <c r="F53" s="139">
        <f t="shared" si="38"/>
        <v>0.39236111111111127</v>
      </c>
      <c r="G53" s="115">
        <f t="shared" ref="G53:O53" si="40">IF($B53="","",F53+G$36*100/60/24)</f>
        <v>0.40208333333333351</v>
      </c>
      <c r="H53" s="113">
        <f t="shared" si="40"/>
        <v>0.41041666666666687</v>
      </c>
      <c r="I53" s="114">
        <f t="shared" si="40"/>
        <v>0.42083333333333356</v>
      </c>
      <c r="J53" s="115">
        <f t="shared" si="40"/>
        <v>0.43263888888888913</v>
      </c>
      <c r="K53" s="113">
        <f t="shared" si="40"/>
        <v>0.44236111111111137</v>
      </c>
      <c r="L53" s="114">
        <f t="shared" si="40"/>
        <v>0.45208333333333361</v>
      </c>
      <c r="M53" s="115">
        <f t="shared" si="40"/>
        <v>0.46041666666666697</v>
      </c>
      <c r="N53" s="113">
        <f t="shared" si="40"/>
        <v>0.47083333333333366</v>
      </c>
      <c r="O53" s="114">
        <f t="shared" si="40"/>
        <v>0.48263888888888923</v>
      </c>
    </row>
    <row r="54" spans="1:15" x14ac:dyDescent="0.25">
      <c r="A54" s="190"/>
      <c r="B54" s="134">
        <f t="shared" si="36"/>
        <v>5</v>
      </c>
      <c r="C54" s="118" t="str">
        <f t="shared" si="37"/>
        <v>Terrence Ng</v>
      </c>
      <c r="D54" s="118" t="str">
        <f t="shared" si="37"/>
        <v>張勛宸</v>
      </c>
      <c r="E54" s="135" t="str">
        <f t="shared" si="37"/>
        <v>Chan Tuck Soon</v>
      </c>
      <c r="F54" s="140">
        <f t="shared" si="38"/>
        <v>0.39861111111111125</v>
      </c>
      <c r="G54" s="122">
        <f t="shared" ref="G54:O54" si="41">IF($B54="","",F54+G$36*100/60/24)</f>
        <v>0.40833333333333349</v>
      </c>
      <c r="H54" s="120">
        <f t="shared" si="41"/>
        <v>0.41666666666666685</v>
      </c>
      <c r="I54" s="121">
        <f t="shared" si="41"/>
        <v>0.42708333333333354</v>
      </c>
      <c r="J54" s="122">
        <f t="shared" si="41"/>
        <v>0.43888888888888911</v>
      </c>
      <c r="K54" s="120">
        <f t="shared" si="41"/>
        <v>0.44861111111111135</v>
      </c>
      <c r="L54" s="121">
        <f t="shared" si="41"/>
        <v>0.45833333333333359</v>
      </c>
      <c r="M54" s="122">
        <f t="shared" si="41"/>
        <v>0.46666666666666695</v>
      </c>
      <c r="N54" s="120">
        <f t="shared" si="41"/>
        <v>0.47708333333333364</v>
      </c>
      <c r="O54" s="121">
        <f t="shared" si="41"/>
        <v>0.48888888888888921</v>
      </c>
    </row>
    <row r="55" spans="1:15" x14ac:dyDescent="0.25">
      <c r="A55" s="190"/>
      <c r="B55" s="130">
        <f t="shared" si="36"/>
        <v>7</v>
      </c>
      <c r="C55" s="124" t="str">
        <f t="shared" si="37"/>
        <v>Alvin Hiew</v>
      </c>
      <c r="D55" s="124" t="str">
        <f t="shared" si="37"/>
        <v>張庭嘉</v>
      </c>
      <c r="E55" s="131" t="str">
        <f t="shared" si="37"/>
        <v>黃子鈞</v>
      </c>
      <c r="F55" s="138">
        <f t="shared" si="38"/>
        <v>0.40486111111111123</v>
      </c>
      <c r="G55" s="108">
        <f t="shared" ref="G55:O55" si="42">IF($B55="","",F55+G$36*100/60/24)</f>
        <v>0.41458333333333347</v>
      </c>
      <c r="H55" s="106">
        <f t="shared" si="42"/>
        <v>0.42291666666666683</v>
      </c>
      <c r="I55" s="107">
        <f t="shared" si="42"/>
        <v>0.43333333333333351</v>
      </c>
      <c r="J55" s="108">
        <f t="shared" si="42"/>
        <v>0.44513888888888908</v>
      </c>
      <c r="K55" s="106">
        <f t="shared" si="42"/>
        <v>0.45486111111111133</v>
      </c>
      <c r="L55" s="107">
        <f t="shared" si="42"/>
        <v>0.46458333333333357</v>
      </c>
      <c r="M55" s="108">
        <f t="shared" si="42"/>
        <v>0.47291666666666693</v>
      </c>
      <c r="N55" s="106">
        <f t="shared" si="42"/>
        <v>0.48333333333333361</v>
      </c>
      <c r="O55" s="107">
        <f t="shared" si="42"/>
        <v>0.49513888888888918</v>
      </c>
    </row>
    <row r="56" spans="1:15" x14ac:dyDescent="0.25">
      <c r="A56" s="190"/>
      <c r="B56" s="132">
        <f t="shared" si="36"/>
        <v>9</v>
      </c>
      <c r="C56" s="111" t="str">
        <f t="shared" si="37"/>
        <v>楊浚頡</v>
      </c>
      <c r="D56" s="111" t="str">
        <f t="shared" si="37"/>
        <v>陳宥蓁</v>
      </c>
      <c r="E56" s="133" t="str">
        <f t="shared" si="37"/>
        <v>劉威汎</v>
      </c>
      <c r="F56" s="139">
        <f t="shared" si="38"/>
        <v>0.4111111111111112</v>
      </c>
      <c r="G56" s="115">
        <f t="shared" ref="G56:O56" si="43">IF($B56="","",F56+G$36*100/60/24)</f>
        <v>0.42083333333333345</v>
      </c>
      <c r="H56" s="113">
        <f t="shared" si="43"/>
        <v>0.42916666666666681</v>
      </c>
      <c r="I56" s="114">
        <f t="shared" si="43"/>
        <v>0.43958333333333349</v>
      </c>
      <c r="J56" s="115">
        <f t="shared" si="43"/>
        <v>0.45138888888888906</v>
      </c>
      <c r="K56" s="113">
        <f t="shared" si="43"/>
        <v>0.4611111111111113</v>
      </c>
      <c r="L56" s="114">
        <f t="shared" si="43"/>
        <v>0.47083333333333355</v>
      </c>
      <c r="M56" s="115">
        <f t="shared" si="43"/>
        <v>0.47916666666666691</v>
      </c>
      <c r="N56" s="113">
        <f t="shared" si="43"/>
        <v>0.48958333333333359</v>
      </c>
      <c r="O56" s="114">
        <f t="shared" si="43"/>
        <v>0.50138888888888911</v>
      </c>
    </row>
    <row r="57" spans="1:15" x14ac:dyDescent="0.25">
      <c r="A57" s="190"/>
      <c r="B57" s="134">
        <f t="shared" si="36"/>
        <v>11</v>
      </c>
      <c r="C57" s="118" t="str">
        <f t="shared" si="37"/>
        <v>Matthew Cheung</v>
      </c>
      <c r="D57" s="118" t="str">
        <f t="shared" si="37"/>
        <v>呂孫儀</v>
      </c>
      <c r="E57" s="135" t="str">
        <f t="shared" si="37"/>
        <v>沈威成</v>
      </c>
      <c r="F57" s="140">
        <f t="shared" si="38"/>
        <v>0.41736111111111118</v>
      </c>
      <c r="G57" s="122">
        <f t="shared" ref="G57:O57" si="44">IF($B57="","",F57+G$36*100/60/24)</f>
        <v>0.42708333333333343</v>
      </c>
      <c r="H57" s="120">
        <f t="shared" si="44"/>
        <v>0.43541666666666679</v>
      </c>
      <c r="I57" s="121">
        <f t="shared" si="44"/>
        <v>0.44583333333333347</v>
      </c>
      <c r="J57" s="122">
        <f t="shared" si="44"/>
        <v>0.45763888888888904</v>
      </c>
      <c r="K57" s="120">
        <f t="shared" si="44"/>
        <v>0.46736111111111128</v>
      </c>
      <c r="L57" s="121">
        <f t="shared" si="44"/>
        <v>0.47708333333333353</v>
      </c>
      <c r="M57" s="122">
        <f t="shared" si="44"/>
        <v>0.48541666666666689</v>
      </c>
      <c r="N57" s="120">
        <f t="shared" si="44"/>
        <v>0.49583333333333357</v>
      </c>
      <c r="O57" s="121">
        <f t="shared" si="44"/>
        <v>0.50763888888888908</v>
      </c>
    </row>
    <row r="58" spans="1:15" x14ac:dyDescent="0.25">
      <c r="A58" s="190"/>
      <c r="B58" s="130">
        <f t="shared" si="36"/>
        <v>13</v>
      </c>
      <c r="C58" s="124" t="str">
        <f t="shared" si="37"/>
        <v xml:space="preserve">Aman Raj </v>
      </c>
      <c r="D58" s="124" t="str">
        <f t="shared" si="37"/>
        <v>蔡哲弘</v>
      </c>
      <c r="E58" s="131" t="str">
        <f t="shared" si="37"/>
        <v>邱瀚霆</v>
      </c>
      <c r="F58" s="138">
        <f t="shared" si="38"/>
        <v>0.42361111111111116</v>
      </c>
      <c r="G58" s="108">
        <f t="shared" ref="G58:O58" si="45">IF($B58="","",F58+G$36*100/60/24)</f>
        <v>0.4333333333333334</v>
      </c>
      <c r="H58" s="106">
        <f t="shared" si="45"/>
        <v>0.44166666666666676</v>
      </c>
      <c r="I58" s="107">
        <f t="shared" si="45"/>
        <v>0.45208333333333345</v>
      </c>
      <c r="J58" s="108">
        <f t="shared" si="45"/>
        <v>0.46388888888888902</v>
      </c>
      <c r="K58" s="106">
        <f t="shared" si="45"/>
        <v>0.47361111111111126</v>
      </c>
      <c r="L58" s="107">
        <f t="shared" si="45"/>
        <v>0.4833333333333335</v>
      </c>
      <c r="M58" s="108">
        <f t="shared" si="45"/>
        <v>0.49166666666666686</v>
      </c>
      <c r="N58" s="106">
        <f t="shared" si="45"/>
        <v>0.50208333333333355</v>
      </c>
      <c r="O58" s="107">
        <f t="shared" si="45"/>
        <v>0.51388888888888906</v>
      </c>
    </row>
    <row r="59" spans="1:15" x14ac:dyDescent="0.25">
      <c r="A59" s="190"/>
      <c r="B59" s="132">
        <f t="shared" si="36"/>
        <v>15</v>
      </c>
      <c r="C59" s="111" t="str">
        <f t="shared" si="37"/>
        <v>Sangchai Kaewcharoen</v>
      </c>
      <c r="D59" s="111" t="str">
        <f t="shared" si="37"/>
        <v>Gregory Foo</v>
      </c>
      <c r="E59" s="133" t="str">
        <f t="shared" si="37"/>
        <v>Marc Ong</v>
      </c>
      <c r="F59" s="139">
        <f t="shared" si="38"/>
        <v>0.42986111111111114</v>
      </c>
      <c r="G59" s="115">
        <f t="shared" ref="G59:O59" si="46">IF($B59="","",F59+G$36*100/60/24)</f>
        <v>0.43958333333333338</v>
      </c>
      <c r="H59" s="113">
        <f t="shared" si="46"/>
        <v>0.44791666666666674</v>
      </c>
      <c r="I59" s="114">
        <f t="shared" si="46"/>
        <v>0.45833333333333343</v>
      </c>
      <c r="J59" s="115">
        <f t="shared" si="46"/>
        <v>0.47013888888888899</v>
      </c>
      <c r="K59" s="113">
        <f t="shared" si="46"/>
        <v>0.47986111111111124</v>
      </c>
      <c r="L59" s="114">
        <f t="shared" si="46"/>
        <v>0.48958333333333348</v>
      </c>
      <c r="M59" s="115">
        <f t="shared" si="46"/>
        <v>0.49791666666666684</v>
      </c>
      <c r="N59" s="113">
        <f t="shared" si="46"/>
        <v>0.50833333333333353</v>
      </c>
      <c r="O59" s="114">
        <f t="shared" si="46"/>
        <v>0.52013888888888904</v>
      </c>
    </row>
    <row r="60" spans="1:15" x14ac:dyDescent="0.25">
      <c r="A60" s="190"/>
      <c r="B60" s="134">
        <f t="shared" si="36"/>
        <v>17</v>
      </c>
      <c r="C60" s="118" t="str">
        <f t="shared" si="37"/>
        <v>Viraaj Madappa</v>
      </c>
      <c r="D60" s="118" t="str">
        <f t="shared" si="37"/>
        <v>Sadom Kaewkanjana</v>
      </c>
      <c r="E60" s="135" t="str">
        <f t="shared" si="37"/>
        <v>Lloyd Jefferson Go</v>
      </c>
      <c r="F60" s="140">
        <f t="shared" si="38"/>
        <v>0.43611111111111112</v>
      </c>
      <c r="G60" s="122">
        <f t="shared" ref="G60:O60" si="47">IF($B60="","",F60+G$36*100/60/24)</f>
        <v>0.44583333333333336</v>
      </c>
      <c r="H60" s="120">
        <f t="shared" si="47"/>
        <v>0.45416666666666672</v>
      </c>
      <c r="I60" s="121">
        <f t="shared" si="47"/>
        <v>0.4645833333333334</v>
      </c>
      <c r="J60" s="122">
        <f t="shared" si="47"/>
        <v>0.47638888888888897</v>
      </c>
      <c r="K60" s="120">
        <f t="shared" si="47"/>
        <v>0.48611111111111122</v>
      </c>
      <c r="L60" s="121">
        <f t="shared" si="47"/>
        <v>0.49583333333333346</v>
      </c>
      <c r="M60" s="122">
        <f t="shared" si="47"/>
        <v>0.50416666666666676</v>
      </c>
      <c r="N60" s="120">
        <f t="shared" si="47"/>
        <v>0.51458333333333339</v>
      </c>
      <c r="O60" s="121">
        <f t="shared" si="47"/>
        <v>0.52638888888888891</v>
      </c>
    </row>
    <row r="61" spans="1:15" x14ac:dyDescent="0.25">
      <c r="A61" s="190"/>
      <c r="B61" s="130"/>
      <c r="C61" s="124"/>
      <c r="D61" s="124"/>
      <c r="E61" s="131"/>
      <c r="F61" s="138"/>
      <c r="G61" s="108"/>
      <c r="H61" s="106"/>
      <c r="I61" s="107"/>
      <c r="J61" s="108"/>
      <c r="K61" s="106"/>
      <c r="L61" s="107"/>
      <c r="M61" s="108"/>
      <c r="N61" s="106"/>
      <c r="O61" s="107"/>
    </row>
    <row r="62" spans="1:15" x14ac:dyDescent="0.25">
      <c r="A62" s="190"/>
      <c r="B62" s="132"/>
      <c r="C62" s="111"/>
      <c r="D62" s="111"/>
      <c r="E62" s="133"/>
      <c r="F62" s="139"/>
      <c r="G62" s="115"/>
      <c r="H62" s="113"/>
      <c r="I62" s="114"/>
      <c r="J62" s="115"/>
      <c r="K62" s="113"/>
      <c r="L62" s="114"/>
      <c r="M62" s="115"/>
      <c r="N62" s="113"/>
      <c r="O62" s="114"/>
    </row>
    <row r="63" spans="1:15" x14ac:dyDescent="0.25">
      <c r="A63" s="190"/>
      <c r="B63" s="134"/>
      <c r="C63" s="118"/>
      <c r="D63" s="118"/>
      <c r="E63" s="135"/>
      <c r="F63" s="140"/>
      <c r="G63" s="122"/>
      <c r="H63" s="120"/>
      <c r="I63" s="121"/>
      <c r="J63" s="122"/>
      <c r="K63" s="120"/>
      <c r="L63" s="121"/>
      <c r="M63" s="122"/>
      <c r="N63" s="120"/>
      <c r="O63" s="121"/>
    </row>
    <row r="64" spans="1:15" x14ac:dyDescent="0.25">
      <c r="A64" s="190"/>
      <c r="B64" s="130"/>
      <c r="C64" s="124"/>
      <c r="D64" s="124"/>
      <c r="E64" s="131"/>
      <c r="F64" s="138"/>
      <c r="G64" s="108"/>
      <c r="H64" s="106"/>
      <c r="I64" s="107"/>
      <c r="J64" s="108"/>
      <c r="K64" s="106"/>
      <c r="L64" s="107"/>
      <c r="M64" s="108"/>
      <c r="N64" s="106"/>
      <c r="O64" s="107"/>
    </row>
    <row r="65" spans="1:15" x14ac:dyDescent="0.25">
      <c r="A65" s="190"/>
      <c r="B65" s="132"/>
      <c r="C65" s="111"/>
      <c r="D65" s="111"/>
      <c r="E65" s="133"/>
      <c r="F65" s="139"/>
      <c r="G65" s="115"/>
      <c r="H65" s="113"/>
      <c r="I65" s="114"/>
      <c r="J65" s="115"/>
      <c r="K65" s="113"/>
      <c r="L65" s="114"/>
      <c r="M65" s="115"/>
      <c r="N65" s="113"/>
      <c r="O65" s="114"/>
    </row>
    <row r="66" spans="1:15" x14ac:dyDescent="0.25">
      <c r="A66" s="190"/>
      <c r="B66" s="134"/>
      <c r="C66" s="118"/>
      <c r="D66" s="118"/>
      <c r="E66" s="135"/>
      <c r="F66" s="140"/>
      <c r="G66" s="122"/>
      <c r="H66" s="120"/>
      <c r="I66" s="121"/>
      <c r="J66" s="122"/>
      <c r="K66" s="120"/>
      <c r="L66" s="121"/>
      <c r="M66" s="122"/>
      <c r="N66" s="120"/>
      <c r="O66" s="121"/>
    </row>
  </sheetData>
  <mergeCells count="10">
    <mergeCell ref="A34:E34"/>
    <mergeCell ref="A35:C35"/>
    <mergeCell ref="A36:E36"/>
    <mergeCell ref="A37:A51"/>
    <mergeCell ref="A52:A66"/>
    <mergeCell ref="A1:E1"/>
    <mergeCell ref="A2:C2"/>
    <mergeCell ref="A3:E3"/>
    <mergeCell ref="A4:A18"/>
    <mergeCell ref="A19:A33"/>
  </mergeCells>
  <phoneticPr fontId="2" type="noConversion"/>
  <dataValidations count="1">
    <dataValidation type="list" allowBlank="1" showInputMessage="1" showErrorMessage="1" sqref="E2">
      <formula1>$AA$3:$AA$6</formula1>
    </dataValidation>
  </dataValidations>
  <printOptions horizontalCentered="1"/>
  <pageMargins left="0" right="0" top="0" bottom="0" header="0.31496062992125984" footer="0.31496062992125984"/>
  <pageSetup paperSize="9" scale="80" orientation="portrait" horizontalDpi="300" verticalDpi="300" r:id="rId1"/>
  <ignoredErrors>
    <ignoredError sqref="B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4</vt:i4>
      </vt:variant>
    </vt:vector>
  </HeadingPairs>
  <TitlesOfParts>
    <vt:vector size="10" baseType="lpstr">
      <vt:lpstr>basic</vt:lpstr>
      <vt:lpstr>R1</vt:lpstr>
      <vt:lpstr>R2</vt:lpstr>
      <vt:lpstr>R3</vt:lpstr>
      <vt:lpstr>R4</vt:lpstr>
      <vt:lpstr>擊球速度</vt:lpstr>
      <vt:lpstr>擊球速度!Print_Area</vt:lpstr>
      <vt:lpstr>女子名次</vt:lpstr>
      <vt:lpstr>名單</vt:lpstr>
      <vt:lpstr>男子名次</vt:lpstr>
    </vt:vector>
  </TitlesOfParts>
  <Company>C.M.T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cp:lastPrinted>2015-06-16T08:10:32Z</cp:lastPrinted>
  <dcterms:created xsi:type="dcterms:W3CDTF">2013-08-27T22:44:25Z</dcterms:created>
  <dcterms:modified xsi:type="dcterms:W3CDTF">2015-06-25T08:11:00Z</dcterms:modified>
</cp:coreProperties>
</file>